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1" activeTab="61"/>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9-CK-NSNN" sheetId="119" state="hidden" r:id="rId54"/>
    <sheet name="Phụ lục thu 3 nam" sheetId="150" state="hidden" r:id="rId55"/>
    <sheet name="Phụ lục chi 3 nam" sheetId="151" state="hidden" r:id="rId56"/>
    <sheet name="Phụ lục CĐ 3 nam" sheetId="154" state="hidden" r:id="rId57"/>
    <sheet name="Phụ lục-CĐC-3 nam" sheetId="152" state="hidden" r:id="rId58"/>
    <sheet name="Phụ lục -CĐC(-BS)-3 nam" sheetId="153" state="hidden" r:id="rId59"/>
    <sheet name="Biểu 45-CK-NSNN" sheetId="124" state="hidden" r:id="rId60"/>
    <sheet name="Biểu 52-CK-NSNN" sheetId="132" state="hidden" r:id="rId61"/>
    <sheet name="Biểu 56-CK-NSNN" sheetId="178" r:id="rId62"/>
    <sheet name="Biểu 57-CK-NSNN" sheetId="179" r:id="rId63"/>
    <sheet name="Phụ lục số 1" sheetId="43" state="hidden" r:id="rId64"/>
    <sheet name="Phụ lục số 2" sheetId="44" state="hidden" r:id="rId65"/>
    <sheet name="Phụ lục số 3-CĐC" sheetId="45" state="hidden" r:id="rId66"/>
    <sheet name="Phụ lục số 3-CĐC(-BS)" sheetId="46" state="hidden" r:id="rId67"/>
    <sheet name="Phụ lục 1-CKNS" sheetId="158" state="hidden" r:id="rId68"/>
    <sheet name="Phụ lục 2-CKNS" sheetId="159" state="hidden" r:id="rId69"/>
    <sheet name="Phụ lục 3-CKNS" sheetId="160" state="hidden" r:id="rId70"/>
    <sheet name="Phụ lục 4-CKNS" sheetId="161" state="hidden" r:id="rId71"/>
    <sheet name="Phụ lục 5-CKNS" sheetId="162" state="hidden" r:id="rId72"/>
    <sheet name="Phụ lục 6-CKNS" sheetId="163" state="hidden" r:id="rId73"/>
    <sheet name="Phụ lục 7-CKNS" sheetId="164" state="hidden" r:id="rId74"/>
    <sheet name="Phụ lục 8-CKNS" sheetId="108" state="hidden" r:id="rId75"/>
    <sheet name="Phụ lục 9-CKNS" sheetId="109" state="hidden" r:id="rId76"/>
    <sheet name="Phụ lục 10-CKNS" sheetId="110" state="hidden" r:id="rId77"/>
    <sheet name="Phụ lục số 3.1-Phân bổ" sheetId="55" state="hidden" r:id="rId78"/>
    <sheet name="Phụ lục số 4" sheetId="65" state="hidden" r:id="rId79"/>
    <sheet name="Phụ lục số 5" sheetId="13" state="hidden" r:id="rId80"/>
    <sheet name="Phụ lục số 6" sheetId="53" state="hidden" r:id="rId81"/>
    <sheet name="Phụ lục số 7" sheetId="14" state="hidden" r:id="rId82"/>
    <sheet name="Phụ lục số 7.1" sheetId="47" state="hidden" r:id="rId83"/>
    <sheet name="Phụ lục số 7.2 - đất - thuê đất" sheetId="52" state="hidden" r:id="rId84"/>
    <sheet name="Phụ lục số 8" sheetId="15" state="hidden" r:id="rId85"/>
    <sheet name="Phụ lục số 8.1" sheetId="48" state="hidden" r:id="rId86"/>
    <sheet name="Phụ lục số 8.2-CCTL" sheetId="50" state="hidden" r:id="rId87"/>
    <sheet name="Phụ lục số 8.3-CĐCS" sheetId="51" state="hidden" r:id="rId88"/>
    <sheet name="Phụ lục số 8.4-10%TK" sheetId="71" state="hidden" r:id="rId89"/>
    <sheet name="Phụ lục số 9" sheetId="17" state="hidden" r:id="rId90"/>
    <sheet name="Phụ lục số 10" sheetId="138" state="hidden" r:id="rId91"/>
    <sheet name="Phụ lục số 9.1" sheetId="49" state="hidden" r:id="rId92"/>
    <sheet name="PHỤ LỤC 1 TRÌNH " sheetId="31" state="hidden" r:id="rId93"/>
    <sheet name="PHỤ LỤC 2 TRÌNH" sheetId="33" state="hidden" r:id="rId94"/>
    <sheet name="PHỤ LỤC 3 - CĐC TRINH" sheetId="34" state="hidden" r:id="rId95"/>
    <sheet name="PHỤ LỤC 3-CĐC(-BS) TRINH" sheetId="35" state="hidden" r:id="rId96"/>
    <sheet name="Phụ lục thu-6T" sheetId="139" state="hidden" r:id="rId97"/>
    <sheet name="Phụ lục chi-6T" sheetId="140" state="hidden" r:id="rId98"/>
    <sheet name="Phụ lục CĐC-6T" sheetId="141" state="hidden" r:id="rId99"/>
    <sheet name="Phụ lục CĐC-6T-BS" sheetId="142" state="hidden" r:id="rId100"/>
    <sheet name="Phụ lục 1-HĐND" sheetId="54" state="hidden" r:id="rId101"/>
    <sheet name="Sheet1" sheetId="155" state="hidden" r:id="rId102"/>
    <sheet name="Phụ lục 2-HĐND" sheetId="57" state="hidden" r:id="rId103"/>
    <sheet name="Phụ lục 3-HĐND" sheetId="58" state="hidden" r:id="rId104"/>
    <sheet name="Phụ lục 4-HĐND" sheetId="149" state="hidden" r:id="rId105"/>
    <sheet name="Phụ lục 5-HĐND" sheetId="60" state="hidden" r:id="rId106"/>
    <sheet name="Phụ lục 6-HĐND" sheetId="61" state="hidden" r:id="rId107"/>
    <sheet name="Phụ lục 7-HĐND" sheetId="62" state="hidden" r:id="rId108"/>
    <sheet name="Phụ lục 8-HĐND" sheetId="63" state="hidden" r:id="rId109"/>
    <sheet name="Phụ lục 9-HĐND" sheetId="64" state="hidden" r:id="rId110"/>
    <sheet name="Phụ lục 10-HĐND" sheetId="112" state="hidden" r:id="rId111"/>
    <sheet name="TỔNG CỘNG" sheetId="72" state="hidden" r:id="rId112"/>
    <sheet name="H. HỒNG NGỰ" sheetId="73" state="hidden" r:id="rId113"/>
    <sheet name="TP.  HỒNG NGỰ" sheetId="74" state="hidden" r:id="rId114"/>
    <sheet name="H. TÂN HỒNG" sheetId="75" state="hidden" r:id="rId115"/>
    <sheet name="H. TAM NÔNG" sheetId="76" state="hidden" r:id="rId116"/>
    <sheet name="H. THANH BÌNH" sheetId="77" state="hidden" r:id="rId117"/>
    <sheet name="TP. CAO LÃNH" sheetId="78" state="hidden" r:id="rId118"/>
    <sheet name="H. CAO LÃNH" sheetId="79" state="hidden" r:id="rId119"/>
    <sheet name="H. THÁP MƯỜI" sheetId="80" state="hidden" r:id="rId120"/>
    <sheet name="H. LẤP VÒ" sheetId="81" state="hidden" r:id="rId121"/>
    <sheet name="H. LAI VUNG" sheetId="82" state="hidden" r:id="rId122"/>
    <sheet name="TP. SA ĐÉC" sheetId="83" state="hidden" r:id="rId123"/>
    <sheet name="H. CHÂU THÀNH" sheetId="84" state="hidden" r:id="rId124"/>
    <sheet name="Phụ lục 1-KQPB" sheetId="66" state="hidden" r:id="rId125"/>
    <sheet name="Phụ lục 2-KQPB" sheetId="67" state="hidden" r:id="rId126"/>
    <sheet name="Phụ lục 3-KQPB" sheetId="68" state="hidden" r:id="rId127"/>
    <sheet name="Phụ lục 4-KQPB" sheetId="69" state="hidden" r:id="rId128"/>
    <sheet name="Phụ lục 5-KQPB" sheetId="70" state="hidden" r:id="rId129"/>
    <sheet name="Đề án ĐP" sheetId="18" state="hidden" r:id="rId130"/>
  </sheets>
  <externalReferences>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s>
  <definedNames>
    <definedName name="_xlnm.Print_Area" localSheetId="61">'Biểu 56-CK-NSNN'!$A$1:$K$20</definedName>
    <definedName name="_xlnm.Print_Area" localSheetId="62">'Biểu 57-CK-NSNN'!$A$1:$E$38</definedName>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2">'PHỤ LỤC 1 TRÌNH '!$A$1:$V$34</definedName>
    <definedName name="_xlnm.Print_Area" localSheetId="110">'Phụ lục 10-HĐND'!$A$1:$K$20</definedName>
    <definedName name="_xlnm.Print_Area" localSheetId="67">'Phụ lục 1-CKNS'!$A$4:$C$64</definedName>
    <definedName name="_xlnm.Print_Area" localSheetId="100">'Phụ lục 1-HĐND'!$A$4:$C$64</definedName>
    <definedName name="_xlnm.Print_Area" localSheetId="68">'Phụ lục 2-CKNS'!$A$4:$C$40</definedName>
    <definedName name="_xlnm.Print_Area" localSheetId="102">'Phụ lục 2-HĐND'!$A$4:$C$40</definedName>
    <definedName name="_xlnm.Print_Area" localSheetId="95">'PHỤ LỤC 3-CĐC(-BS) TRINH'!$A$1:$K$65</definedName>
    <definedName name="_xlnm.Print_Area" localSheetId="69">'Phụ lục 3-CKNS'!$A$4:$E$56</definedName>
    <definedName name="_xlnm.Print_Area" localSheetId="103">'Phụ lục 3-HĐND'!$A$4:$E$56</definedName>
    <definedName name="_xlnm.Print_Area" localSheetId="70">'Phụ lục 4-CKNS'!$A$3:$C$71</definedName>
    <definedName name="_xlnm.Print_Area" localSheetId="104">'Phụ lục 4-HĐND'!$A$3:$C$71</definedName>
    <definedName name="_xlnm.Print_Area" localSheetId="71">'Phụ lục 5-CKNS'!$A$1:$AN$127</definedName>
    <definedName name="_xlnm.Print_Area" localSheetId="105">'Phụ lục 5-HĐND'!$A$1:$AN$127</definedName>
    <definedName name="_xlnm.Print_Area" localSheetId="72">'Phụ lục 6-CKNS'!$A$1:$E$38</definedName>
    <definedName name="_xlnm.Print_Area" localSheetId="106">'Phụ lục 6-HĐND'!$A$1:$E$38</definedName>
    <definedName name="_xlnm.Print_Area" localSheetId="73">'Phụ lục 7-CKNS'!$A$1:$V$22</definedName>
    <definedName name="_xlnm.Print_Area" localSheetId="107">'Phụ lục 7-HĐND'!$A$1:$AO$41</definedName>
    <definedName name="_xlnm.Print_Area" localSheetId="108">'Phụ lục 8-HĐND'!$A$1:$O$22</definedName>
    <definedName name="_xlnm.Print_Area" localSheetId="109">'Phụ lục 9-HĐND'!$A$1:$V$22</definedName>
    <definedName name="_xlnm.Print_Area" localSheetId="56">'Phụ lục CĐ 3 nam'!$A$1:$H$68</definedName>
    <definedName name="_xlnm.Print_Area" localSheetId="58">'Phụ lục -CĐC(-BS)-3 nam'!$A$1:$T$73</definedName>
    <definedName name="_xlnm.Print_Area" localSheetId="55">'Phụ lục chi 3 nam'!$A$1:$AA$54</definedName>
    <definedName name="_xlnm.Print_Area" localSheetId="63">'Phụ lục số 1'!$A$1:$V$73</definedName>
    <definedName name="_xlnm.Print_Area" localSheetId="90">'Phụ lục số 10'!$A$1:$K$20</definedName>
    <definedName name="_xlnm.Print_Area" localSheetId="64">'Phụ lục số 2'!$A$1:$Q$53</definedName>
    <definedName name="_xlnm.Print_Area" localSheetId="65">'Phụ lục số 3-CĐC'!$A$1:$K$71</definedName>
    <definedName name="_xlnm.Print_Area" localSheetId="66">'Phụ lục số 3-CĐC(-BS)'!$A$1:$K$73</definedName>
    <definedName name="_xlnm.Print_Area" localSheetId="78">'Phụ lục số 4'!$A$3:$C$71</definedName>
    <definedName name="_xlnm.Print_Area" localSheetId="79">'Phụ lục số 5'!$A$1:$AN$127</definedName>
    <definedName name="_xlnm.Print_Area" localSheetId="80">'Phụ lục số 6'!$A$1:$E$44</definedName>
    <definedName name="_xlnm.Print_Area" localSheetId="81">'Phụ lục số 7'!$A$1:$AO$41</definedName>
    <definedName name="_xlnm.Print_Area" localSheetId="82">'Phụ lục số 7.1'!$A$1:$FB$45</definedName>
    <definedName name="_xlnm.Print_Area" localSheetId="84">'Phụ lục số 8'!$A$1:$O$21</definedName>
    <definedName name="_xlnm.Print_Area" localSheetId="85">'Phụ lục số 8.1'!$A$1:$DB$35</definedName>
    <definedName name="_xlnm.Print_Area" localSheetId="86">'Phụ lục số 8.2-CCTL'!$A$1:$P$44</definedName>
    <definedName name="_xlnm.Print_Area" localSheetId="87">'Phụ lục số 8.3-CĐCS'!$A$1:$GB$23</definedName>
    <definedName name="_xlnm.Print_Area" localSheetId="89">'Phụ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4">'Phụ lục thu 3 nam'!$A$1:$AH$73</definedName>
    <definedName name="_xlnm.Print_Area" localSheetId="57">'Phụ lục-CĐC-3 nam'!$A$1:$T$72</definedName>
    <definedName name="_xlnm.Print_Area" localSheetId="111">'TỔNG CỘNG'!$A$1:$C$142</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67">'Phụ lục 1-CKNS'!$4:$8</definedName>
    <definedName name="_xlnm.Print_Titles" localSheetId="100">'Phụ lục 1-HĐND'!$4:$8</definedName>
    <definedName name="_xlnm.Print_Titles" localSheetId="69">'Phụ lục 3-CKNS'!$4:$10</definedName>
    <definedName name="_xlnm.Print_Titles" localSheetId="103">'Phụ lục 3-HĐND'!$4:$10</definedName>
    <definedName name="_xlnm.Print_Titles" localSheetId="126">'Phụ lục 3-KQPB'!$8:$10</definedName>
    <definedName name="_xlnm.Print_Titles" localSheetId="71">'Phụ lục 5-CKNS'!$5:$9</definedName>
    <definedName name="_xlnm.Print_Titles" localSheetId="105">'Phụ lục 5-HĐND'!$5:$9</definedName>
    <definedName name="_xlnm.Print_Titles" localSheetId="107">'Phụ lục 7-HĐND'!$A:$B,'Phụ lục 7-HĐND'!$1:$6</definedName>
    <definedName name="_xlnm.Print_Titles" localSheetId="58">'Phụ lục -CĐC(-BS)-3 nam'!$A:$B,'Phụ lục -CĐC(-BS)-3 nam'!$1:$7</definedName>
    <definedName name="_xlnm.Print_Titles" localSheetId="55">'Phụ lục chi 3 nam'!$A:$B,'Phụ lục chi 3 nam'!$6:$8</definedName>
    <definedName name="_xlnm.Print_Titles" localSheetId="63">'Phụ lục số 1'!$A:$B,'Phụ lục số 1'!$1:$9</definedName>
    <definedName name="_xlnm.Print_Titles" localSheetId="65">'Phụ lục số 3-CĐC'!$A:$B,'Phụ lục số 3-CĐC'!$1:$7</definedName>
    <definedName name="_xlnm.Print_Titles" localSheetId="66">'Phụ lục số 3-CĐC(-BS)'!$A:$B,'Phụ lục số 3-CĐC(-BS)'!$1:$7</definedName>
    <definedName name="_xlnm.Print_Titles" localSheetId="79">'Phụ lục số 5'!$5:$9</definedName>
    <definedName name="_xlnm.Print_Titles" localSheetId="81">'Phụ lục số 7'!$A:$B,'Phụ lục số 7'!$1:$6</definedName>
    <definedName name="_xlnm.Print_Titles" localSheetId="82">'Phụ lục số 7.1'!$A:$B,'Phụ lục số 7.1'!$1:$8</definedName>
    <definedName name="_xlnm.Print_Titles" localSheetId="85">'Phụ lục số 8.1'!$A:$B,'Phụ lục số 8.1'!$1:$7</definedName>
    <definedName name="_xlnm.Print_Titles" localSheetId="87">'Phụ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4">'Phụ lục thu 3 nam'!$A:$B,'Phụ lục thu 3 nam'!$1:$9</definedName>
    <definedName name="_xlnm.Print_Titles" localSheetId="57">'Phụ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9" i="13" l="1"/>
  <c r="E38" i="179"/>
  <c r="C38" i="179" s="1"/>
  <c r="B38" i="179"/>
  <c r="E37" i="179"/>
  <c r="C37" i="179" s="1"/>
  <c r="B37" i="179"/>
  <c r="E36" i="179"/>
  <c r="C36" i="179" s="1"/>
  <c r="B36" i="179"/>
  <c r="E35" i="179"/>
  <c r="C35" i="179"/>
  <c r="B35" i="179"/>
  <c r="E34" i="179"/>
  <c r="C34" i="179" s="1"/>
  <c r="B34" i="179"/>
  <c r="E33" i="179"/>
  <c r="C33" i="179" s="1"/>
  <c r="B33" i="179"/>
  <c r="E32" i="179"/>
  <c r="C32" i="179" s="1"/>
  <c r="B32" i="179"/>
  <c r="E31" i="179"/>
  <c r="C31" i="179" s="1"/>
  <c r="B31" i="179"/>
  <c r="E30" i="179"/>
  <c r="C30" i="179" s="1"/>
  <c r="B30" i="179"/>
  <c r="A30" i="179"/>
  <c r="D29" i="179"/>
  <c r="B29" i="179"/>
  <c r="E27" i="179"/>
  <c r="C27" i="179" s="1"/>
  <c r="B27" i="179"/>
  <c r="A27" i="179"/>
  <c r="E26" i="179"/>
  <c r="D26" i="179"/>
  <c r="B26" i="179"/>
  <c r="A26" i="179"/>
  <c r="D25" i="179"/>
  <c r="C25" i="179" s="1"/>
  <c r="B25" i="179"/>
  <c r="A25" i="179"/>
  <c r="D24" i="179"/>
  <c r="C24" i="179" s="1"/>
  <c r="B24" i="179"/>
  <c r="A24" i="179"/>
  <c r="D23" i="179"/>
  <c r="C23" i="179"/>
  <c r="B23" i="179"/>
  <c r="A23" i="179"/>
  <c r="D22" i="179"/>
  <c r="C22" i="179" s="1"/>
  <c r="B22" i="179"/>
  <c r="A22" i="179"/>
  <c r="D21" i="179"/>
  <c r="C21" i="179" s="1"/>
  <c r="B21" i="179"/>
  <c r="A21" i="179"/>
  <c r="B20" i="179"/>
  <c r="A20" i="179"/>
  <c r="B19" i="179"/>
  <c r="A19" i="179"/>
  <c r="D18" i="179"/>
  <c r="C18" i="179" s="1"/>
  <c r="B18" i="179"/>
  <c r="A18" i="179"/>
  <c r="E17" i="179"/>
  <c r="D17" i="179"/>
  <c r="D13" i="179" s="1"/>
  <c r="B17" i="179"/>
  <c r="A17" i="179"/>
  <c r="E16" i="179"/>
  <c r="D16" i="179"/>
  <c r="B16" i="179"/>
  <c r="E15" i="179"/>
  <c r="E13" i="179" s="1"/>
  <c r="D15" i="179"/>
  <c r="B15" i="179"/>
  <c r="A15" i="179"/>
  <c r="B14" i="179"/>
  <c r="B13" i="179"/>
  <c r="A13" i="179"/>
  <c r="B12" i="179"/>
  <c r="A12" i="179"/>
  <c r="C11" i="179"/>
  <c r="B11" i="179"/>
  <c r="B10" i="179"/>
  <c r="E9" i="179"/>
  <c r="C9" i="179"/>
  <c r="B9" i="179"/>
  <c r="A9" i="179"/>
  <c r="B8" i="179"/>
  <c r="A8" i="179"/>
  <c r="B7" i="179"/>
  <c r="A1" i="179"/>
  <c r="J19" i="178"/>
  <c r="J18" i="178"/>
  <c r="J17" i="178"/>
  <c r="J15" i="178"/>
  <c r="J14" i="178"/>
  <c r="J13" i="178"/>
  <c r="J10" i="178"/>
  <c r="J9" i="178"/>
  <c r="J8" i="178"/>
  <c r="E6" i="178"/>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C16" i="163" l="1"/>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C26" i="179"/>
  <c r="E19" i="179"/>
  <c r="C16" i="179"/>
  <c r="C13" i="179"/>
  <c r="C29" i="179"/>
  <c r="C15" i="179"/>
  <c r="C17" i="179"/>
  <c r="E29" i="179"/>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E12" i="179" l="1"/>
  <c r="E8" i="179" s="1"/>
  <c r="E7" i="179" s="1"/>
  <c r="C33" i="162"/>
  <c r="AI11" i="162"/>
  <c r="AG11" i="162"/>
  <c r="AG10" i="162" s="1"/>
  <c r="D11" i="162"/>
  <c r="AC44" i="162"/>
  <c r="AB44" i="162"/>
  <c r="T44" i="162"/>
  <c r="T11" i="162" s="1"/>
  <c r="T10" i="162" s="1"/>
  <c r="C45" i="162"/>
  <c r="P51" i="162"/>
  <c r="P44" i="162" s="1"/>
  <c r="C52" i="162"/>
  <c r="AF11" i="162"/>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62" l="1"/>
  <c r="P67" i="162" s="1"/>
  <c r="C67" i="162" s="1"/>
  <c r="AC71" i="162"/>
  <c r="P71" i="162" s="1"/>
  <c r="C71" i="162" s="1"/>
  <c r="Q15" i="43"/>
  <c r="Q14" i="43"/>
  <c r="Z41" i="45" l="1"/>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62" l="1"/>
  <c r="Q18" i="162"/>
  <c r="Y98" i="60"/>
  <c r="Y98" i="162"/>
  <c r="Q26" i="162"/>
  <c r="P26" i="162" s="1"/>
  <c r="C26" i="162" s="1"/>
  <c r="Q13" i="162"/>
  <c r="Z104" i="13"/>
  <c r="P102" i="162" l="1"/>
  <c r="C102" i="162" s="1"/>
  <c r="Z104" i="162"/>
  <c r="P104" i="162" s="1"/>
  <c r="C104" i="162" s="1"/>
  <c r="AA16" i="13"/>
  <c r="Z19" i="13"/>
  <c r="Z19" i="162" l="1"/>
  <c r="P19" i="162" s="1"/>
  <c r="C19" i="162" s="1"/>
  <c r="AA16" i="162"/>
  <c r="Z41" i="13"/>
  <c r="Q34" i="13"/>
  <c r="Q34" i="162" l="1"/>
  <c r="P34" i="162" s="1"/>
  <c r="C34" i="162" s="1"/>
  <c r="Z41" i="162"/>
  <c r="P41" i="162" s="1"/>
  <c r="C41" i="162"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62"/>
  <c r="P113" i="162" s="1"/>
  <c r="C113" i="162" s="1"/>
  <c r="C121" i="162"/>
  <c r="AF10" i="162"/>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62" l="1"/>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5" i="178"/>
  <c r="G16" i="112"/>
  <c r="G16" i="178"/>
  <c r="G14" i="112"/>
  <c r="G14" i="178"/>
  <c r="G8" i="112"/>
  <c r="G8" i="178"/>
  <c r="G10" i="112"/>
  <c r="G10" i="178"/>
  <c r="G18" i="112"/>
  <c r="G18" i="178"/>
  <c r="AJ82" i="162"/>
  <c r="G11" i="112"/>
  <c r="G11" i="178"/>
  <c r="G19" i="112"/>
  <c r="G19" i="178"/>
  <c r="G17" i="112"/>
  <c r="G17" i="178"/>
  <c r="G12" i="112"/>
  <c r="G12" i="178"/>
  <c r="G9" i="112"/>
  <c r="G20" i="112" s="1"/>
  <c r="G9" i="178"/>
  <c r="D43" i="50"/>
  <c r="G13" i="112"/>
  <c r="G13" i="178"/>
  <c r="D26" i="50"/>
  <c r="C181" i="13"/>
  <c r="T18" i="153"/>
  <c r="P69" i="153"/>
  <c r="AC21" i="153"/>
  <c r="AC18" i="153" s="1"/>
  <c r="G20" i="138"/>
  <c r="Q30" i="13"/>
  <c r="P39" i="60"/>
  <c r="C39" i="60" s="1"/>
  <c r="P40" i="60"/>
  <c r="C40" i="60" s="1"/>
  <c r="P39" i="13"/>
  <c r="P40" i="13"/>
  <c r="Z16" i="13"/>
  <c r="U64" i="13"/>
  <c r="AC72" i="13"/>
  <c r="AC70" i="13"/>
  <c r="AJ17" i="13"/>
  <c r="Z16" i="162" l="1"/>
  <c r="AH82" i="162"/>
  <c r="AH81" i="162" s="1"/>
  <c r="AJ81" i="162"/>
  <c r="AJ17" i="162"/>
  <c r="AH17" i="162" s="1"/>
  <c r="C17" i="162" s="1"/>
  <c r="AC70" i="162"/>
  <c r="P70" i="162" s="1"/>
  <c r="C70" i="162" s="1"/>
  <c r="Q30" i="162"/>
  <c r="G20" i="178"/>
  <c r="AC72" i="162"/>
  <c r="P72" i="162" s="1"/>
  <c r="C72" i="162" s="1"/>
  <c r="U64" i="162"/>
  <c r="S69" i="153"/>
  <c r="R69" i="153" s="1"/>
  <c r="O69" i="153"/>
  <c r="Q58" i="43"/>
  <c r="P16" i="162" l="1"/>
  <c r="P30" i="162"/>
  <c r="Q12" i="162"/>
  <c r="U63" i="162"/>
  <c r="P64" i="162"/>
  <c r="Q58" i="150"/>
  <c r="E17" i="154"/>
  <c r="K34" i="44"/>
  <c r="K35" i="151" s="1"/>
  <c r="C64" i="162" l="1"/>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29" i="159" l="1"/>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C41" i="142" s="1"/>
  <c r="B41" i="142"/>
  <c r="B63" i="142" s="1"/>
  <c r="E40" i="142"/>
  <c r="E38" i="142" s="1"/>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B18" i="142"/>
  <c r="E17" i="142"/>
  <c r="D17" i="142"/>
  <c r="B17" i="142"/>
  <c r="B16" i="142"/>
  <c r="E15" i="142"/>
  <c r="D15" i="142"/>
  <c r="B15" i="142"/>
  <c r="E13" i="142"/>
  <c r="D13" i="142"/>
  <c r="B13" i="142"/>
  <c r="B21" i="142" s="1"/>
  <c r="E12" i="142"/>
  <c r="D12" i="142"/>
  <c r="B12" i="142"/>
  <c r="B20" i="142" s="1"/>
  <c r="E11" i="142"/>
  <c r="D43" i="142" s="1"/>
  <c r="C43" i="142" s="1"/>
  <c r="D11" i="142"/>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V32" i="140" s="1"/>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E42" i="139" s="1"/>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C18" i="142"/>
  <c r="I19" i="140"/>
  <c r="C53" i="141"/>
  <c r="C11" i="142"/>
  <c r="C33" i="142"/>
  <c r="C63" i="142"/>
  <c r="C53" i="142"/>
  <c r="C56" i="142"/>
  <c r="D15" i="146"/>
  <c r="E132" i="145"/>
  <c r="T11" i="139"/>
  <c r="V35" i="139"/>
  <c r="AA35" i="139" s="1"/>
  <c r="Q35" i="139"/>
  <c r="Q24" i="139"/>
  <c r="Q37" i="139"/>
  <c r="Q34" i="139"/>
  <c r="V34" i="139"/>
  <c r="AA34" i="139" s="1"/>
  <c r="AC49" i="139"/>
  <c r="Q31" i="139"/>
  <c r="R31" i="139" s="1"/>
  <c r="X31" i="139" s="1"/>
  <c r="W34" i="139"/>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S37" i="99" s="1"/>
  <c r="N37" i="99"/>
  <c r="M37" i="99"/>
  <c r="K37" i="99"/>
  <c r="J37" i="99"/>
  <c r="H37" i="99"/>
  <c r="G37" i="99"/>
  <c r="F37" i="99" s="1"/>
  <c r="E37" i="99"/>
  <c r="D37" i="99"/>
  <c r="C37" i="99" s="1"/>
  <c r="Q36" i="99"/>
  <c r="P36" i="99"/>
  <c r="N36" i="99"/>
  <c r="M36" i="99"/>
  <c r="K36" i="99"/>
  <c r="J36" i="99"/>
  <c r="H36" i="99"/>
  <c r="G36" i="99"/>
  <c r="F36" i="99" s="1"/>
  <c r="E36" i="99"/>
  <c r="D36" i="99"/>
  <c r="Q35" i="99"/>
  <c r="P35" i="99"/>
  <c r="N35" i="99"/>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L26" i="99" s="1"/>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F24" i="99" s="1"/>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T27" i="100" s="1"/>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C31" i="98" s="1"/>
  <c r="B34" i="98"/>
  <c r="G33" i="98"/>
  <c r="F33" i="98"/>
  <c r="E33" i="98"/>
  <c r="D33" i="98"/>
  <c r="C33" i="98"/>
  <c r="B33" i="98"/>
  <c r="G32" i="98"/>
  <c r="F32" i="98"/>
  <c r="E32" i="98"/>
  <c r="E31" i="98" s="1"/>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H20" i="98" s="1"/>
  <c r="D20" i="98"/>
  <c r="C20" i="98"/>
  <c r="G19" i="98"/>
  <c r="F19" i="98"/>
  <c r="E19" i="98"/>
  <c r="D19" i="98"/>
  <c r="C19" i="98"/>
  <c r="G18" i="98"/>
  <c r="F18" i="98"/>
  <c r="E18" i="98"/>
  <c r="E15" i="98" s="1"/>
  <c r="E13" i="98" s="1"/>
  <c r="D18" i="98"/>
  <c r="C18" i="98"/>
  <c r="B18" i="98"/>
  <c r="G17" i="98"/>
  <c r="F17" i="98"/>
  <c r="E17" i="98"/>
  <c r="H17" i="98" s="1"/>
  <c r="D17" i="98"/>
  <c r="C17" i="98"/>
  <c r="B17" i="98"/>
  <c r="G16" i="98"/>
  <c r="F16" i="98"/>
  <c r="E16" i="98"/>
  <c r="D16" i="98"/>
  <c r="C16" i="98"/>
  <c r="B16" i="98"/>
  <c r="G14" i="98"/>
  <c r="H14" i="98" s="1"/>
  <c r="F14" i="98"/>
  <c r="E14" i="98"/>
  <c r="D14" i="98"/>
  <c r="C14" i="98"/>
  <c r="G12" i="98"/>
  <c r="F12" i="98"/>
  <c r="F11" i="98" s="1"/>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F37" i="97" s="1"/>
  <c r="E37" i="97"/>
  <c r="D37" i="97"/>
  <c r="B37" i="97"/>
  <c r="Y36" i="97"/>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O33" i="97"/>
  <c r="N33" i="97"/>
  <c r="J33" i="97"/>
  <c r="I33" i="97"/>
  <c r="F33" i="97" s="1"/>
  <c r="E33" i="97"/>
  <c r="D33" i="97"/>
  <c r="C33" i="97" s="1"/>
  <c r="Y32" i="97"/>
  <c r="X32" i="97"/>
  <c r="T32" i="97"/>
  <c r="S32" i="97"/>
  <c r="O32" i="97"/>
  <c r="N32" i="97"/>
  <c r="K32" i="97" s="1"/>
  <c r="J32" i="97"/>
  <c r="I32" i="97"/>
  <c r="F32" i="97" s="1"/>
  <c r="E32" i="97"/>
  <c r="D32" i="97"/>
  <c r="Y31" i="97"/>
  <c r="X31" i="97"/>
  <c r="T31" i="97"/>
  <c r="S31" i="97"/>
  <c r="P31" i="97" s="1"/>
  <c r="O31" i="97"/>
  <c r="N31" i="97"/>
  <c r="K31" i="97" s="1"/>
  <c r="J31" i="97"/>
  <c r="I31" i="97"/>
  <c r="E31" i="97"/>
  <c r="D31" i="97"/>
  <c r="Y30" i="97"/>
  <c r="X30" i="97"/>
  <c r="U30" i="97" s="1"/>
  <c r="T30" i="97"/>
  <c r="S30" i="97"/>
  <c r="P30" i="97" s="1"/>
  <c r="O30" i="97"/>
  <c r="N30" i="97"/>
  <c r="J30" i="97"/>
  <c r="I30" i="97"/>
  <c r="E30" i="97"/>
  <c r="D30" i="97"/>
  <c r="C30" i="97" s="1"/>
  <c r="Y29" i="97"/>
  <c r="X29" i="97"/>
  <c r="U29" i="97" s="1"/>
  <c r="T29" i="97"/>
  <c r="S29" i="97"/>
  <c r="O29" i="97"/>
  <c r="N29" i="97"/>
  <c r="J29" i="97"/>
  <c r="I29" i="97"/>
  <c r="F29" i="97" s="1"/>
  <c r="E29" i="97"/>
  <c r="D29" i="97"/>
  <c r="C29" i="97" s="1"/>
  <c r="Y28" i="97"/>
  <c r="X28" i="97"/>
  <c r="T28" i="97"/>
  <c r="S28" i="97"/>
  <c r="O28" i="97"/>
  <c r="N28" i="97"/>
  <c r="J28" i="97"/>
  <c r="I28" i="97"/>
  <c r="F28" i="97" s="1"/>
  <c r="E28" i="97"/>
  <c r="D28" i="97"/>
  <c r="Y27" i="97"/>
  <c r="X27" i="97"/>
  <c r="T27" i="97"/>
  <c r="S27" i="97"/>
  <c r="P27" i="97" s="1"/>
  <c r="O27" i="97"/>
  <c r="N27" i="97"/>
  <c r="K27" i="97" s="1"/>
  <c r="J27" i="97"/>
  <c r="I27" i="97"/>
  <c r="E27" i="97"/>
  <c r="D27" i="97"/>
  <c r="Y26" i="97"/>
  <c r="X26" i="97"/>
  <c r="U26" i="97" s="1"/>
  <c r="T26" i="97"/>
  <c r="S26" i="97"/>
  <c r="P26" i="97" s="1"/>
  <c r="O26" i="97"/>
  <c r="N26" i="97"/>
  <c r="J26" i="97"/>
  <c r="I26" i="97"/>
  <c r="E26" i="97"/>
  <c r="D26" i="97"/>
  <c r="Y25" i="97"/>
  <c r="X25" i="97"/>
  <c r="T25" i="97"/>
  <c r="S25" i="97"/>
  <c r="O25" i="97"/>
  <c r="N25" i="97"/>
  <c r="J25" i="97"/>
  <c r="I25" i="97"/>
  <c r="F25" i="97" s="1"/>
  <c r="E25" i="97"/>
  <c r="D25" i="97"/>
  <c r="C25" i="97" s="1"/>
  <c r="Y24" i="97"/>
  <c r="X24" i="97"/>
  <c r="T24" i="97"/>
  <c r="S24" i="97"/>
  <c r="O24" i="97"/>
  <c r="N24" i="97"/>
  <c r="K24" i="97" s="1"/>
  <c r="J24" i="97"/>
  <c r="I24" i="97"/>
  <c r="F24" i="97" s="1"/>
  <c r="E24" i="97"/>
  <c r="D24" i="97"/>
  <c r="Y23" i="97"/>
  <c r="X23" i="97"/>
  <c r="T23" i="97"/>
  <c r="S23" i="97"/>
  <c r="P23" i="97" s="1"/>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F21" i="97" s="1"/>
  <c r="E21" i="97"/>
  <c r="D21" i="97"/>
  <c r="Y20" i="97"/>
  <c r="X20" i="97"/>
  <c r="T20" i="97"/>
  <c r="S20" i="97"/>
  <c r="O20" i="97"/>
  <c r="N20" i="97"/>
  <c r="K20" i="97" s="1"/>
  <c r="J20" i="97"/>
  <c r="I20" i="97"/>
  <c r="E20" i="97"/>
  <c r="D20" i="97"/>
  <c r="Y19" i="97"/>
  <c r="X19" i="97"/>
  <c r="T19" i="97"/>
  <c r="S19" i="97"/>
  <c r="O19" i="97"/>
  <c r="N19" i="97"/>
  <c r="K19" i="97" s="1"/>
  <c r="J19" i="97"/>
  <c r="I19" i="97"/>
  <c r="E19" i="97"/>
  <c r="D19" i="97"/>
  <c r="Y17" i="97"/>
  <c r="X17" i="97"/>
  <c r="U17" i="97" s="1"/>
  <c r="T17" i="97"/>
  <c r="S17" i="97"/>
  <c r="P17" i="97" s="1"/>
  <c r="O17" i="97"/>
  <c r="N17" i="97"/>
  <c r="J17" i="97"/>
  <c r="I17" i="97"/>
  <c r="E17" i="97"/>
  <c r="D17" i="97"/>
  <c r="C17" i="97" s="1"/>
  <c r="Y16" i="97"/>
  <c r="X16" i="97"/>
  <c r="U16" i="97" s="1"/>
  <c r="T16" i="97"/>
  <c r="S16" i="97"/>
  <c r="O16" i="97"/>
  <c r="N16" i="97"/>
  <c r="J16" i="97"/>
  <c r="I16" i="97"/>
  <c r="F16" i="97" s="1"/>
  <c r="E16" i="97"/>
  <c r="D16" i="97"/>
  <c r="X14" i="97"/>
  <c r="U14" i="97" s="1"/>
  <c r="T14" i="97"/>
  <c r="S14" i="97"/>
  <c r="O14" i="97"/>
  <c r="N14" i="97"/>
  <c r="B14" i="97"/>
  <c r="Y13" i="97"/>
  <c r="X13" i="97"/>
  <c r="X9" i="97" s="1"/>
  <c r="T13" i="97"/>
  <c r="S13" i="97"/>
  <c r="O13" i="97"/>
  <c r="N13" i="97"/>
  <c r="J13" i="97"/>
  <c r="I13" i="97"/>
  <c r="I9" i="97" s="1"/>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T11" i="96" s="1"/>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Z60" i="95" s="1"/>
  <c r="X60" i="95" s="1"/>
  <c r="P60" i="95"/>
  <c r="O60" i="95"/>
  <c r="N60" i="95" s="1"/>
  <c r="L60" i="95" s="1"/>
  <c r="I60" i="95"/>
  <c r="H60" i="95"/>
  <c r="AB59" i="95"/>
  <c r="AA59" i="95"/>
  <c r="P59" i="95"/>
  <c r="O59" i="95"/>
  <c r="N59" i="95" s="1"/>
  <c r="L59" i="95" s="1"/>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N55" i="95" s="1"/>
  <c r="L55" i="95" s="1"/>
  <c r="I55" i="95"/>
  <c r="H55" i="95"/>
  <c r="G55" i="95" s="1"/>
  <c r="E55" i="95" s="1"/>
  <c r="AB54" i="95"/>
  <c r="AA54" i="95"/>
  <c r="P54" i="95"/>
  <c r="O54" i="95"/>
  <c r="I54" i="95"/>
  <c r="H54" i="95"/>
  <c r="AB53" i="95"/>
  <c r="AA53" i="95"/>
  <c r="Z53" i="95" s="1"/>
  <c r="X53" i="95" s="1"/>
  <c r="P53" i="95"/>
  <c r="O53" i="95"/>
  <c r="I53" i="95"/>
  <c r="H53" i="95"/>
  <c r="AB52" i="95"/>
  <c r="AA52" i="95"/>
  <c r="Z52" i="95" s="1"/>
  <c r="X52" i="95" s="1"/>
  <c r="P52" i="95"/>
  <c r="O52" i="95"/>
  <c r="N52" i="95" s="1"/>
  <c r="L52" i="95" s="1"/>
  <c r="I52" i="95"/>
  <c r="H52" i="95"/>
  <c r="AB51" i="95"/>
  <c r="AA51" i="95"/>
  <c r="P51" i="95"/>
  <c r="O51" i="95"/>
  <c r="N51" i="95" s="1"/>
  <c r="L51" i="95" s="1"/>
  <c r="I51" i="95"/>
  <c r="H51" i="95"/>
  <c r="G51" i="95" s="1"/>
  <c r="E51" i="95" s="1"/>
  <c r="AB50" i="95"/>
  <c r="AA50" i="95"/>
  <c r="P50" i="95"/>
  <c r="O50" i="95"/>
  <c r="I50" i="95"/>
  <c r="H50" i="95"/>
  <c r="G50" i="95" s="1"/>
  <c r="E50" i="95" s="1"/>
  <c r="AB49" i="95"/>
  <c r="AA49" i="95"/>
  <c r="P49" i="95"/>
  <c r="O49" i="95"/>
  <c r="I49" i="95"/>
  <c r="H49" i="95"/>
  <c r="AB48" i="95"/>
  <c r="AA48" i="95"/>
  <c r="Z48" i="95" s="1"/>
  <c r="X48" i="95" s="1"/>
  <c r="P48" i="95"/>
  <c r="O48" i="95"/>
  <c r="I48" i="95"/>
  <c r="H48" i="95"/>
  <c r="AB47" i="95"/>
  <c r="AA47" i="95"/>
  <c r="P47" i="95"/>
  <c r="O47" i="95"/>
  <c r="N47" i="95" s="1"/>
  <c r="L47" i="95" s="1"/>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Z29" i="95" s="1"/>
  <c r="X29" i="95" s="1"/>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Z22" i="95" s="1"/>
  <c r="AA22" i="95"/>
  <c r="V22" i="95" s="1"/>
  <c r="Y22" i="95"/>
  <c r="T22" i="95" s="1"/>
  <c r="X22" i="95"/>
  <c r="P22" i="95"/>
  <c r="O22" i="95"/>
  <c r="M22" i="95"/>
  <c r="L22" i="95"/>
  <c r="I22" i="95"/>
  <c r="G22" i="95" s="1"/>
  <c r="H22" i="95"/>
  <c r="F22" i="95"/>
  <c r="E22" i="95"/>
  <c r="D22" i="95"/>
  <c r="Z21" i="95"/>
  <c r="X21" i="95"/>
  <c r="U21" i="95"/>
  <c r="N21" i="95"/>
  <c r="L21" i="95"/>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N12" i="95" s="1"/>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A23" i="94" s="1"/>
  <c r="AC23" i="94" s="1"/>
  <c r="AI22" i="94"/>
  <c r="AJ22" i="94" s="1"/>
  <c r="L22" i="94"/>
  <c r="Z22" i="94" s="1"/>
  <c r="I22" i="94"/>
  <c r="H22" i="94"/>
  <c r="G22" i="94" s="1"/>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A14" i="94" s="1"/>
  <c r="AC14" i="94" s="1"/>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AA11" i="94" s="1"/>
  <c r="AC11" i="94" s="1"/>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Q27" i="92" s="1"/>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O22" i="92" s="1"/>
  <c r="O21" i="92" s="1"/>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C12" i="92" s="1"/>
  <c r="AB14" i="92"/>
  <c r="AA14" i="92"/>
  <c r="Z14" i="92"/>
  <c r="Y14" i="92"/>
  <c r="Y12" i="92" s="1"/>
  <c r="R14" i="92"/>
  <c r="P14" i="92"/>
  <c r="O14" i="92"/>
  <c r="M14" i="92"/>
  <c r="L14" i="92"/>
  <c r="J14" i="92"/>
  <c r="I14" i="92"/>
  <c r="G14" i="92"/>
  <c r="H14" i="92" s="1"/>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B9" i="92" s="1"/>
  <c r="AA11" i="92"/>
  <c r="Z11" i="92"/>
  <c r="Y11" i="92"/>
  <c r="R11" i="92"/>
  <c r="R9" i="92" s="1"/>
  <c r="P11" i="92"/>
  <c r="O11" i="92"/>
  <c r="M11" i="92"/>
  <c r="L11" i="92"/>
  <c r="J11" i="92"/>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U22" i="90" s="1"/>
  <c r="U21" i="90" s="1"/>
  <c r="T26" i="90"/>
  <c r="S26" i="90"/>
  <c r="R26" i="90"/>
  <c r="Q26" i="90"/>
  <c r="O26" i="90"/>
  <c r="N26" i="90"/>
  <c r="M26" i="90"/>
  <c r="L26" i="90"/>
  <c r="J26" i="90"/>
  <c r="I26" i="90"/>
  <c r="H26" i="90"/>
  <c r="G26" i="90"/>
  <c r="F26" i="90"/>
  <c r="C26" i="90"/>
  <c r="U25" i="90"/>
  <c r="T25" i="90"/>
  <c r="V25" i="90" s="1"/>
  <c r="S25" i="90"/>
  <c r="R25" i="90"/>
  <c r="Q25" i="90"/>
  <c r="O25" i="90"/>
  <c r="N25" i="90"/>
  <c r="M25" i="90"/>
  <c r="L25" i="90"/>
  <c r="J25" i="90"/>
  <c r="I25" i="90"/>
  <c r="H25" i="90"/>
  <c r="G25" i="90"/>
  <c r="F25" i="90"/>
  <c r="D25" i="90"/>
  <c r="C25" i="90"/>
  <c r="U24" i="90"/>
  <c r="T24" i="90"/>
  <c r="V24" i="90" s="1"/>
  <c r="S24" i="90"/>
  <c r="R24" i="90"/>
  <c r="Q24" i="90"/>
  <c r="O24" i="90"/>
  <c r="N24" i="90"/>
  <c r="M24" i="90"/>
  <c r="L24" i="90"/>
  <c r="J24" i="90"/>
  <c r="I24" i="90"/>
  <c r="H24" i="90"/>
  <c r="G24" i="90"/>
  <c r="F24" i="90"/>
  <c r="D24" i="90"/>
  <c r="C24" i="90"/>
  <c r="U23" i="90"/>
  <c r="T23" i="90"/>
  <c r="S23" i="90"/>
  <c r="R23" i="90"/>
  <c r="Q23" i="90"/>
  <c r="O23" i="90"/>
  <c r="O22" i="90" s="1"/>
  <c r="N23" i="90"/>
  <c r="M23" i="90"/>
  <c r="L23" i="90"/>
  <c r="J23" i="90"/>
  <c r="J22" i="90" s="1"/>
  <c r="J49" i="90" s="1"/>
  <c r="J50" i="90" s="1"/>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Q15" i="90" s="1"/>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J9" i="90" s="1"/>
  <c r="I14" i="90"/>
  <c r="H14" i="90"/>
  <c r="G14" i="90"/>
  <c r="F14" i="90"/>
  <c r="D14" i="90"/>
  <c r="D13" i="90" s="1"/>
  <c r="C14" i="90"/>
  <c r="C13" i="90" s="1"/>
  <c r="E13" i="90"/>
  <c r="U12" i="90"/>
  <c r="T12" i="90"/>
  <c r="S12" i="90"/>
  <c r="R12" i="90"/>
  <c r="Q12" i="90"/>
  <c r="O12" i="90"/>
  <c r="N12" i="90"/>
  <c r="M12" i="90"/>
  <c r="L12" i="90"/>
  <c r="L11" i="90" s="1"/>
  <c r="J12" i="90"/>
  <c r="I12" i="90"/>
  <c r="H12" i="90"/>
  <c r="G12" i="90"/>
  <c r="G11" i="90" s="1"/>
  <c r="F12" i="90"/>
  <c r="U10" i="90"/>
  <c r="T10" i="90"/>
  <c r="S10" i="90"/>
  <c r="R10" i="90"/>
  <c r="Q10" i="90"/>
  <c r="O10" i="90"/>
  <c r="N10" i="90"/>
  <c r="M10" i="90"/>
  <c r="L10" i="90"/>
  <c r="J10" i="90"/>
  <c r="I10" i="90"/>
  <c r="I9" i="90" s="1"/>
  <c r="H10" i="90"/>
  <c r="G10" i="90"/>
  <c r="F10" i="90"/>
  <c r="E10" i="90"/>
  <c r="E49" i="90" s="1"/>
  <c r="E50" i="90" s="1"/>
  <c r="D10" i="90"/>
  <c r="C10" i="90"/>
  <c r="U7" i="90"/>
  <c r="T7" i="90"/>
  <c r="S7" i="90"/>
  <c r="R7" i="90"/>
  <c r="Q7" i="90"/>
  <c r="O7" i="90"/>
  <c r="O5" i="90" s="1"/>
  <c r="N7" i="90"/>
  <c r="M7" i="90"/>
  <c r="L7" i="90"/>
  <c r="J7" i="90"/>
  <c r="I7" i="90"/>
  <c r="H7" i="90"/>
  <c r="G7" i="90"/>
  <c r="F7" i="90"/>
  <c r="F5" i="90" s="1"/>
  <c r="E7" i="90"/>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J153" i="89" s="1"/>
  <c r="AH153" i="89"/>
  <c r="AF153" i="89"/>
  <c r="AA153" i="89"/>
  <c r="Y153" i="89"/>
  <c r="S153" i="89"/>
  <c r="Q153" i="89"/>
  <c r="O153" i="89"/>
  <c r="M153" i="89"/>
  <c r="T153" i="89" s="1"/>
  <c r="L153" i="89"/>
  <c r="H153" i="89"/>
  <c r="G153" i="89"/>
  <c r="F153" i="89"/>
  <c r="E153" i="89"/>
  <c r="D153" i="89"/>
  <c r="C153" i="89"/>
  <c r="F151" i="89"/>
  <c r="E151" i="89"/>
  <c r="D151" i="89"/>
  <c r="AS150" i="89"/>
  <c r="AS139" i="89" s="1"/>
  <c r="AR150" i="89"/>
  <c r="AQ150" i="89"/>
  <c r="AQ139" i="89" s="1"/>
  <c r="AP150" i="89"/>
  <c r="AO150" i="89"/>
  <c r="AO139" i="89" s="1"/>
  <c r="AI150" i="89"/>
  <c r="AI151" i="89" s="1"/>
  <c r="AH150" i="89"/>
  <c r="AF150" i="89"/>
  <c r="AA150" i="89"/>
  <c r="Y150" i="89"/>
  <c r="X150" i="89"/>
  <c r="X139" i="89" s="1"/>
  <c r="S150" i="89"/>
  <c r="R150" i="89"/>
  <c r="R139" i="89" s="1"/>
  <c r="Q150" i="89"/>
  <c r="S151" i="89" s="1"/>
  <c r="O150" i="89"/>
  <c r="M150" i="89"/>
  <c r="L150" i="89"/>
  <c r="H150" i="89"/>
  <c r="G150" i="89"/>
  <c r="G151" i="89" s="1"/>
  <c r="AK148" i="89"/>
  <c r="F148" i="89"/>
  <c r="E148" i="89"/>
  <c r="D148" i="89"/>
  <c r="AI147" i="89"/>
  <c r="AH147" i="89"/>
  <c r="AF147" i="89"/>
  <c r="AA147" i="89"/>
  <c r="Y147" i="89"/>
  <c r="S147" i="89"/>
  <c r="Q147" i="89"/>
  <c r="S148" i="89" s="1"/>
  <c r="O147" i="89"/>
  <c r="M147" i="89"/>
  <c r="O148" i="89" s="1"/>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O36" i="89" s="1"/>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T35" i="89" s="1"/>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F93" i="89" s="1"/>
  <c r="AA25" i="89"/>
  <c r="AA92" i="89" s="1"/>
  <c r="X25" i="89"/>
  <c r="T25" i="89"/>
  <c r="I25" i="89"/>
  <c r="AS24" i="89"/>
  <c r="AR24" i="89"/>
  <c r="AQ24" i="89"/>
  <c r="AP24" i="89"/>
  <c r="AT24" i="89" s="1"/>
  <c r="AO24" i="89"/>
  <c r="AI24" i="89"/>
  <c r="AI89" i="89" s="1"/>
  <c r="AH24" i="89"/>
  <c r="AH89" i="89" s="1"/>
  <c r="AG24" i="89"/>
  <c r="AJ24" i="89" s="1"/>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T22" i="89" s="1"/>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F68" i="89" s="1"/>
  <c r="AA18" i="89"/>
  <c r="AA67" i="89" s="1"/>
  <c r="X18" i="89"/>
  <c r="T18" i="89"/>
  <c r="I18" i="89"/>
  <c r="AS17" i="89"/>
  <c r="AR17" i="89"/>
  <c r="AQ17" i="89"/>
  <c r="AP17" i="89"/>
  <c r="AT17" i="89" s="1"/>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P11" i="89" s="1"/>
  <c r="AO13" i="89"/>
  <c r="AI13" i="89"/>
  <c r="AI124" i="89" s="1"/>
  <c r="AH13" i="89"/>
  <c r="AH124" i="89" s="1"/>
  <c r="AG13" i="89"/>
  <c r="AF13" i="89"/>
  <c r="AF124" i="89" s="1"/>
  <c r="AA13" i="89"/>
  <c r="Y13" i="89"/>
  <c r="Y124" i="89" s="1"/>
  <c r="X13" i="89"/>
  <c r="X11" i="89" s="1"/>
  <c r="S13" i="89"/>
  <c r="S124" i="89" s="1"/>
  <c r="Q13" i="89"/>
  <c r="Q124" i="89" s="1"/>
  <c r="I13" i="89"/>
  <c r="AS12" i="89"/>
  <c r="AR12" i="89"/>
  <c r="AQ12" i="89"/>
  <c r="AP12" i="89"/>
  <c r="AO12" i="89"/>
  <c r="AO11" i="89" s="1"/>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T165"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B49" i="88" s="1"/>
  <c r="BA167" i="88"/>
  <c r="BA168" i="88" s="1"/>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G33" i="88" s="1"/>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Z33" i="88" s="1"/>
  <c r="AR34" i="88"/>
  <c r="AU34" i="88" s="1"/>
  <c r="AQ34" i="88"/>
  <c r="AP34" i="88"/>
  <c r="AO34" i="88"/>
  <c r="AO33" i="88" s="1"/>
  <c r="AO31" i="88" s="1"/>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W26" i="88" s="1"/>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E24" i="88" s="1"/>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D148"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A20" i="88"/>
  <c r="BA119" i="88" s="1"/>
  <c r="AZ20" i="88"/>
  <c r="AR20" i="88"/>
  <c r="AQ20" i="88"/>
  <c r="AP20" i="88"/>
  <c r="AO20" i="88"/>
  <c r="AO119" i="88" s="1"/>
  <c r="AH20" i="88"/>
  <c r="AH220" i="88" s="1"/>
  <c r="AB20" i="88"/>
  <c r="AA20" i="88"/>
  <c r="U20" i="88"/>
  <c r="P20" i="88"/>
  <c r="P119" i="88" s="1"/>
  <c r="I20" i="88"/>
  <c r="C20" i="88"/>
  <c r="C119" i="88" s="1"/>
  <c r="BL19" i="88"/>
  <c r="BD19" i="88"/>
  <c r="BD144" i="88" s="1"/>
  <c r="BC19" i="88"/>
  <c r="BC144" i="88" s="1"/>
  <c r="BB19" i="88"/>
  <c r="BB144" i="88" s="1"/>
  <c r="BB145" i="88" s="1"/>
  <c r="BA19" i="88"/>
  <c r="BA144" i="88" s="1"/>
  <c r="AZ19" i="88"/>
  <c r="AR19" i="88"/>
  <c r="AQ19" i="88"/>
  <c r="AW19" i="88" s="1"/>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S18" i="88" s="1"/>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E16" i="88" s="1"/>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C12" i="88"/>
  <c r="BB12" i="88"/>
  <c r="BA12" i="88"/>
  <c r="BA128" i="88" s="1"/>
  <c r="AZ12" i="88"/>
  <c r="AR12" i="88"/>
  <c r="AW12" i="88" s="1"/>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O11" i="88"/>
  <c r="AH11" i="88"/>
  <c r="AK11" i="88" s="1"/>
  <c r="AB11" i="88"/>
  <c r="AA11" i="88"/>
  <c r="U11" i="88"/>
  <c r="P11" i="88"/>
  <c r="I11" i="88"/>
  <c r="C11" i="88"/>
  <c r="BQ10" i="88"/>
  <c r="BL10" i="88"/>
  <c r="BD10" i="88"/>
  <c r="BD107" i="88" s="1"/>
  <c r="BD104" i="88" s="1"/>
  <c r="BC10" i="88"/>
  <c r="BB10" i="88"/>
  <c r="BA10" i="88"/>
  <c r="BA87" i="88" s="1"/>
  <c r="AZ10" i="88"/>
  <c r="AR10" i="88"/>
  <c r="AQ10" i="88"/>
  <c r="AP10" i="88"/>
  <c r="AO10" i="88"/>
  <c r="AO87" i="88" s="1"/>
  <c r="AO86"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T72" i="87" s="1"/>
  <c r="S38" i="87"/>
  <c r="O38" i="87"/>
  <c r="N38" i="87"/>
  <c r="J38" i="87"/>
  <c r="I38" i="87"/>
  <c r="C38" i="87"/>
  <c r="AI37" i="87"/>
  <c r="AH37" i="87"/>
  <c r="AD37" i="87"/>
  <c r="AC37" i="87"/>
  <c r="Y37" i="87"/>
  <c r="X37" i="87"/>
  <c r="T37" i="87"/>
  <c r="S37" i="87"/>
  <c r="O37" i="87"/>
  <c r="N37" i="87"/>
  <c r="AI36" i="87"/>
  <c r="AH36" i="87"/>
  <c r="AD36" i="87"/>
  <c r="AC36" i="87"/>
  <c r="Y36" i="87"/>
  <c r="Y34" i="87" s="1"/>
  <c r="X36" i="87"/>
  <c r="T36" i="87"/>
  <c r="S36" i="87"/>
  <c r="O36" i="87"/>
  <c r="N36" i="87"/>
  <c r="J36" i="87"/>
  <c r="F36" i="87" s="1"/>
  <c r="F34" i="87" s="1"/>
  <c r="I36" i="87"/>
  <c r="C36" i="87"/>
  <c r="AY35" i="87"/>
  <c r="BB35" i="87" s="1"/>
  <c r="AT35" i="87"/>
  <c r="AW35" i="87" s="1"/>
  <c r="AO35" i="87"/>
  <c r="AR35" i="87" s="1"/>
  <c r="AJ35" i="87"/>
  <c r="AM35" i="87" s="1"/>
  <c r="AI35" i="87"/>
  <c r="AH35" i="87"/>
  <c r="AD35" i="87"/>
  <c r="AC35" i="87"/>
  <c r="Z35" i="87" s="1"/>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Y33" i="87"/>
  <c r="X33" i="87"/>
  <c r="T33" i="87"/>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D27" i="87"/>
  <c r="AC27" i="87"/>
  <c r="Y27" i="87"/>
  <c r="X27" i="87"/>
  <c r="T27" i="87"/>
  <c r="S27" i="87"/>
  <c r="O27" i="87"/>
  <c r="N27" i="87"/>
  <c r="J27" i="87"/>
  <c r="F27" i="87" s="1"/>
  <c r="I27" i="87"/>
  <c r="C27" i="87"/>
  <c r="AI26" i="87"/>
  <c r="AH26" i="87"/>
  <c r="AD26" i="87"/>
  <c r="AC26" i="87"/>
  <c r="Y26" i="87"/>
  <c r="X26" i="87"/>
  <c r="U26" i="87" s="1"/>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C22" i="87"/>
  <c r="Z22" i="87" s="1"/>
  <c r="Y22" i="87"/>
  <c r="X22" i="87"/>
  <c r="T22" i="87"/>
  <c r="S22" i="87"/>
  <c r="O22" i="87"/>
  <c r="N22" i="87"/>
  <c r="J22" i="87"/>
  <c r="I22" i="87"/>
  <c r="F22" i="87" s="1"/>
  <c r="H22" i="87" s="1"/>
  <c r="C22" i="87"/>
  <c r="AI21" i="87"/>
  <c r="AH21" i="87"/>
  <c r="AD21" i="87"/>
  <c r="AC21" i="87"/>
  <c r="Y21" i="87"/>
  <c r="X21" i="87"/>
  <c r="T21" i="87"/>
  <c r="S21" i="87"/>
  <c r="O21" i="87"/>
  <c r="N21" i="87"/>
  <c r="K21" i="87" s="1"/>
  <c r="J21" i="87"/>
  <c r="I21" i="87"/>
  <c r="C21" i="87"/>
  <c r="AI20" i="87"/>
  <c r="AH20" i="87"/>
  <c r="AD20" i="87"/>
  <c r="AC20" i="87"/>
  <c r="Y20" i="87"/>
  <c r="U20" i="87" s="1"/>
  <c r="X20" i="87"/>
  <c r="T20" i="87"/>
  <c r="S20" i="87"/>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X18" i="87"/>
  <c r="T18" i="87"/>
  <c r="S18" i="87"/>
  <c r="O18" i="87"/>
  <c r="N18" i="87"/>
  <c r="J18" i="87"/>
  <c r="J17" i="87" s="1"/>
  <c r="J14" i="87" s="1"/>
  <c r="I18" i="87"/>
  <c r="C18" i="87"/>
  <c r="E17" i="87"/>
  <c r="E14" i="87"/>
  <c r="D17" i="87"/>
  <c r="D14" i="87" s="1"/>
  <c r="AI16" i="87"/>
  <c r="AH16" i="87"/>
  <c r="AM16" i="87" s="1"/>
  <c r="AR16" i="87" s="1"/>
  <c r="AD16" i="87"/>
  <c r="AC16" i="87"/>
  <c r="Y16" i="87"/>
  <c r="X16" i="87"/>
  <c r="T16" i="87"/>
  <c r="P16" i="87" s="1"/>
  <c r="R16" i="87" s="1"/>
  <c r="S16" i="87"/>
  <c r="O16" i="87"/>
  <c r="N16" i="87"/>
  <c r="K16" i="87" s="1"/>
  <c r="J16" i="87"/>
  <c r="I16" i="87"/>
  <c r="F16" i="87" s="1"/>
  <c r="C16" i="87"/>
  <c r="AI15" i="87"/>
  <c r="AN15" i="87" s="1"/>
  <c r="AH15" i="87"/>
  <c r="AE15" i="87" s="1"/>
  <c r="AD15" i="87"/>
  <c r="AC15" i="87"/>
  <c r="Y15" i="87"/>
  <c r="X15" i="87"/>
  <c r="T15" i="87"/>
  <c r="S15" i="87"/>
  <c r="O15" i="87"/>
  <c r="N15" i="87"/>
  <c r="J15" i="87"/>
  <c r="I15" i="87"/>
  <c r="C15" i="87"/>
  <c r="BC13" i="87"/>
  <c r="AY13" i="87" s="1"/>
  <c r="BB13" i="87"/>
  <c r="AX13" i="87"/>
  <c r="AW13" i="87"/>
  <c r="AS13" i="87"/>
  <c r="AR13" i="87"/>
  <c r="AN13" i="87"/>
  <c r="AM13" i="87"/>
  <c r="AJ13" i="87" s="1"/>
  <c r="AI13" i="87"/>
  <c r="AH13" i="87"/>
  <c r="AD13" i="87"/>
  <c r="AC13" i="87"/>
  <c r="Y13" i="87"/>
  <c r="X13" i="87"/>
  <c r="T13" i="87"/>
  <c r="S13" i="87"/>
  <c r="P13" i="87" s="1"/>
  <c r="O13" i="87"/>
  <c r="K13" i="87" s="1"/>
  <c r="N13" i="87"/>
  <c r="I13" i="87"/>
  <c r="F13" i="87" s="1"/>
  <c r="C13" i="87"/>
  <c r="BC12" i="87"/>
  <c r="BB12" i="87"/>
  <c r="AX12" i="87"/>
  <c r="AW12" i="87"/>
  <c r="AT12" i="87" s="1"/>
  <c r="AS12" i="87"/>
  <c r="AO12" i="87" s="1"/>
  <c r="AR12" i="87"/>
  <c r="AN12" i="87"/>
  <c r="AM12" i="87"/>
  <c r="AJ12" i="87" s="1"/>
  <c r="AI12" i="87"/>
  <c r="AH12" i="87"/>
  <c r="AD12" i="87"/>
  <c r="AC12" i="87"/>
  <c r="Z12" i="87" s="1"/>
  <c r="Y12" i="87"/>
  <c r="U12" i="87" s="1"/>
  <c r="X12" i="87"/>
  <c r="T12" i="87"/>
  <c r="S12" i="87"/>
  <c r="O12" i="87"/>
  <c r="N12" i="87"/>
  <c r="J12" i="87"/>
  <c r="I12" i="87"/>
  <c r="C12" i="87"/>
  <c r="BC11" i="87"/>
  <c r="BB11" i="87"/>
  <c r="AX11" i="87"/>
  <c r="AW11" i="87"/>
  <c r="AT11" i="87" s="1"/>
  <c r="AS11" i="87"/>
  <c r="AR11" i="87"/>
  <c r="AN11" i="87"/>
  <c r="AM11" i="87"/>
  <c r="AI11" i="87"/>
  <c r="AH11" i="87"/>
  <c r="AD11" i="87"/>
  <c r="AC11" i="87"/>
  <c r="Y11" i="87"/>
  <c r="X11" i="87"/>
  <c r="T11" i="87"/>
  <c r="S11" i="87"/>
  <c r="O11" i="87"/>
  <c r="N11" i="87"/>
  <c r="J11" i="87"/>
  <c r="I11" i="87"/>
  <c r="I9" i="87" s="1"/>
  <c r="C11" i="87"/>
  <c r="AI10" i="87"/>
  <c r="AH10" i="87"/>
  <c r="AD10" i="87"/>
  <c r="Z10" i="87" s="1"/>
  <c r="AC10" i="87"/>
  <c r="Y10" i="87"/>
  <c r="X10" i="87"/>
  <c r="U10" i="87" s="1"/>
  <c r="T10" i="87"/>
  <c r="P10" i="87" s="1"/>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M58" i="86"/>
  <c r="L58" i="86"/>
  <c r="E58" i="86"/>
  <c r="C58" i="86"/>
  <c r="AQ57" i="86"/>
  <c r="AP57" i="86"/>
  <c r="AL57" i="86"/>
  <c r="AK57" i="86"/>
  <c r="AJ57" i="86"/>
  <c r="AF57" i="86"/>
  <c r="AE57" i="86"/>
  <c r="AD57" i="86"/>
  <c r="AC57" i="86" s="1"/>
  <c r="Z57" i="86" s="1"/>
  <c r="Y57" i="86"/>
  <c r="X57" i="86"/>
  <c r="T57" i="86"/>
  <c r="AQ56" i="86"/>
  <c r="AP56" i="86"/>
  <c r="AL56" i="86"/>
  <c r="AR56" i="86" s="1"/>
  <c r="AU56" i="86" s="1"/>
  <c r="AK56" i="86"/>
  <c r="AJ56" i="86"/>
  <c r="AI56" i="86" s="1"/>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M48" i="86" s="1"/>
  <c r="AF48" i="86"/>
  <c r="AJ48" i="86" s="1"/>
  <c r="AI48" i="86" s="1"/>
  <c r="Z48" i="86"/>
  <c r="T48" i="86"/>
  <c r="X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BE44" i="86" s="1"/>
  <c r="AX44" i="86"/>
  <c r="AR44" i="86"/>
  <c r="AL44" i="86"/>
  <c r="AS44" i="86" s="1"/>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L39" i="86" s="1"/>
  <c r="I39" i="86"/>
  <c r="E39" i="86"/>
  <c r="F39" i="86" s="1"/>
  <c r="BJ38" i="86"/>
  <c r="BD38" i="86"/>
  <c r="BF38" i="86" s="1"/>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AC23"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U24" i="86" s="1"/>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G15" i="92"/>
  <c r="AA12" i="92"/>
  <c r="F23" i="97"/>
  <c r="AI36" i="89"/>
  <c r="L20" i="100"/>
  <c r="C42" i="100"/>
  <c r="O43" i="99"/>
  <c r="T16" i="100"/>
  <c r="S43" i="99"/>
  <c r="BC168" i="88"/>
  <c r="W35" i="96"/>
  <c r="X35" i="96" s="1"/>
  <c r="F54" i="96"/>
  <c r="M5" i="90"/>
  <c r="G31" i="90"/>
  <c r="C31" i="95"/>
  <c r="C28" i="95" s="1"/>
  <c r="AF16" i="96"/>
  <c r="P12" i="97"/>
  <c r="AH36" i="89"/>
  <c r="E5" i="90"/>
  <c r="AA43" i="96"/>
  <c r="AI11" i="89"/>
  <c r="AI120" i="89" s="1"/>
  <c r="AI129" i="89" s="1"/>
  <c r="C14" i="92"/>
  <c r="W14" i="92" s="1"/>
  <c r="N18" i="95"/>
  <c r="H34" i="98"/>
  <c r="O11" i="90"/>
  <c r="K43" i="96"/>
  <c r="K16" i="97"/>
  <c r="F17" i="97"/>
  <c r="C19" i="97"/>
  <c r="P24" i="97"/>
  <c r="C12" i="97"/>
  <c r="U12" i="97"/>
  <c r="O30" i="99"/>
  <c r="F8" i="94"/>
  <c r="F7" i="94" s="1"/>
  <c r="P56" i="95"/>
  <c r="AC39" i="96"/>
  <c r="D15" i="98"/>
  <c r="C31" i="99"/>
  <c r="O31" i="99"/>
  <c r="P28" i="87"/>
  <c r="AR11" i="89"/>
  <c r="H9" i="90"/>
  <c r="G43" i="95"/>
  <c r="E43" i="95" s="1"/>
  <c r="O34" i="96"/>
  <c r="AB12" i="92"/>
  <c r="I38" i="100"/>
  <c r="AE33" i="87"/>
  <c r="AD16" i="95"/>
  <c r="O19" i="100"/>
  <c r="AD25" i="95"/>
  <c r="W37" i="96"/>
  <c r="U39" i="96"/>
  <c r="W43" i="96"/>
  <c r="U31" i="97"/>
  <c r="N15" i="100"/>
  <c r="I31" i="100"/>
  <c r="Q39" i="100"/>
  <c r="J12" i="92"/>
  <c r="P32" i="97"/>
  <c r="O42" i="100"/>
  <c r="R42" i="100" s="1"/>
  <c r="L25" i="99"/>
  <c r="O27" i="99"/>
  <c r="AE22" i="87"/>
  <c r="Z54" i="95"/>
  <c r="X54" i="95" s="1"/>
  <c r="U13" i="97"/>
  <c r="F29" i="100"/>
  <c r="L31" i="100"/>
  <c r="Z49" i="95"/>
  <c r="X49" i="95" s="1"/>
  <c r="J23" i="96"/>
  <c r="AC29" i="96"/>
  <c r="AD29" i="96" s="1"/>
  <c r="Q39" i="99"/>
  <c r="AE9" i="92"/>
  <c r="C16" i="92"/>
  <c r="C15" i="92" s="1"/>
  <c r="I22" i="92"/>
  <c r="N27" i="92"/>
  <c r="O27" i="100"/>
  <c r="T26" i="99"/>
  <c r="I27" i="99"/>
  <c r="S13" i="90"/>
  <c r="C38" i="99"/>
  <c r="M148" i="89"/>
  <c r="C54" i="96"/>
  <c r="N53" i="97"/>
  <c r="U12" i="95"/>
  <c r="N50" i="95"/>
  <c r="L50" i="95" s="1"/>
  <c r="Z51" i="95"/>
  <c r="X51" i="95" s="1"/>
  <c r="G53" i="95"/>
  <c r="E53" i="95" s="1"/>
  <c r="M33" i="96"/>
  <c r="L33" i="96" s="1"/>
  <c r="C10" i="100"/>
  <c r="O10" i="100"/>
  <c r="L11" i="100"/>
  <c r="BM14" i="86"/>
  <c r="AN51" i="86"/>
  <c r="AR51" i="86"/>
  <c r="AX51" i="86" s="1"/>
  <c r="AN21" i="88"/>
  <c r="AL21" i="88"/>
  <c r="AR23" i="86"/>
  <c r="R55" i="86"/>
  <c r="Q55" i="86" s="1"/>
  <c r="T68" i="87"/>
  <c r="R22" i="90"/>
  <c r="R21" i="90" s="1"/>
  <c r="K11" i="92"/>
  <c r="AG16" i="92"/>
  <c r="AH16" i="92" s="1"/>
  <c r="Q23" i="92"/>
  <c r="Y8" i="95"/>
  <c r="Y9" i="95" s="1"/>
  <c r="R26" i="95"/>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Q11" i="89"/>
  <c r="Q108" i="89" s="1"/>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BM47" i="86"/>
  <c r="Q30" i="86"/>
  <c r="Q36" i="86"/>
  <c r="BI41" i="86"/>
  <c r="BH41" i="86" s="1"/>
  <c r="I47" i="86"/>
  <c r="R13" i="90"/>
  <c r="M22" i="90"/>
  <c r="M31" i="90"/>
  <c r="M21" i="90" s="1"/>
  <c r="I9" i="92"/>
  <c r="R14" i="95"/>
  <c r="S19" i="100"/>
  <c r="J32" i="100"/>
  <c r="AE27" i="87"/>
  <c r="AS13" i="88"/>
  <c r="AB18" i="89"/>
  <c r="K35" i="90"/>
  <c r="AD9" i="92"/>
  <c r="K13" i="94"/>
  <c r="AA20" i="94"/>
  <c r="AC20" i="94" s="1"/>
  <c r="N20" i="95"/>
  <c r="AC26" i="95"/>
  <c r="G29" i="95"/>
  <c r="E29" i="95" s="1"/>
  <c r="N23" i="100"/>
  <c r="D39" i="100"/>
  <c r="T10" i="99"/>
  <c r="I18" i="99"/>
  <c r="F20" i="99"/>
  <c r="L24" i="99"/>
  <c r="G32" i="99"/>
  <c r="K25" i="87"/>
  <c r="M25" i="87" s="1"/>
  <c r="P20" i="90"/>
  <c r="N31" i="90"/>
  <c r="V17" i="91"/>
  <c r="M20" i="94"/>
  <c r="Z34" i="95"/>
  <c r="X34" i="95" s="1"/>
  <c r="Z55" i="95"/>
  <c r="X55" i="95" s="1"/>
  <c r="AF13" i="96"/>
  <c r="U45" i="96"/>
  <c r="F26" i="97"/>
  <c r="T24" i="100"/>
  <c r="S33" i="100"/>
  <c r="S36" i="100"/>
  <c r="T38" i="100"/>
  <c r="E39" i="100"/>
  <c r="AJ27" i="89"/>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AW13" i="88"/>
  <c r="K19" i="90"/>
  <c r="AF12" i="92"/>
  <c r="K14" i="92"/>
  <c r="P22" i="92"/>
  <c r="AA19" i="94"/>
  <c r="AC19" i="94" s="1"/>
  <c r="AE11" i="95"/>
  <c r="O31" i="95"/>
  <c r="Z59" i="95"/>
  <c r="C11" i="97"/>
  <c r="C19" i="100"/>
  <c r="C29" i="100"/>
  <c r="F30" i="99"/>
  <c r="I37" i="99"/>
  <c r="S40" i="99"/>
  <c r="K22" i="87"/>
  <c r="M22" i="87" s="1"/>
  <c r="AW10" i="88"/>
  <c r="AO178" i="88"/>
  <c r="AO180" i="88" s="1"/>
  <c r="I5" i="90"/>
  <c r="I31" i="90"/>
  <c r="P15" i="91"/>
  <c r="K15" i="94"/>
  <c r="AA22" i="94"/>
  <c r="AC22" i="94" s="1"/>
  <c r="AC14" i="95"/>
  <c r="AF20" i="95"/>
  <c r="Z45" i="95"/>
  <c r="X45" i="95" s="1"/>
  <c r="AB56" i="95"/>
  <c r="W33" i="96"/>
  <c r="AF42" i="96"/>
  <c r="I9" i="100"/>
  <c r="I16" i="100"/>
  <c r="I25" i="100"/>
  <c r="P32" i="100"/>
  <c r="Z21" i="87"/>
  <c r="S61" i="87"/>
  <c r="AU13" i="88"/>
  <c r="K6" i="90"/>
  <c r="N11" i="92"/>
  <c r="AA12" i="94"/>
  <c r="AC12" i="94" s="1"/>
  <c r="AA21" i="94"/>
  <c r="AC21" i="94" s="1"/>
  <c r="AA26" i="94"/>
  <c r="AC26" i="94" s="1"/>
  <c r="AC16" i="95"/>
  <c r="N19" i="95"/>
  <c r="AA40" i="96"/>
  <c r="F22" i="97"/>
  <c r="C32" i="97"/>
  <c r="P36" i="97"/>
  <c r="C43" i="100"/>
  <c r="O43" i="100"/>
  <c r="C20" i="99"/>
  <c r="O26" i="99"/>
  <c r="I38" i="99"/>
  <c r="M39" i="99"/>
  <c r="L39" i="99" s="1"/>
  <c r="O40" i="99"/>
  <c r="U55" i="86"/>
  <c r="AV10" i="88"/>
  <c r="AY10" i="88" s="1"/>
  <c r="AN11" i="88"/>
  <c r="AK14" i="88"/>
  <c r="AN19" i="88"/>
  <c r="BM21" i="88"/>
  <c r="BN21" i="88" s="1"/>
  <c r="BO21" i="88" s="1"/>
  <c r="AK23" i="88"/>
  <c r="AZ79" i="88"/>
  <c r="U29" i="86"/>
  <c r="BG30" i="86"/>
  <c r="AI33" i="86"/>
  <c r="AJ33" i="86" s="1"/>
  <c r="BK37" i="86"/>
  <c r="AY39" i="86"/>
  <c r="AI45" i="86"/>
  <c r="AJ45" i="86" s="1"/>
  <c r="P20" i="87"/>
  <c r="U22" i="87"/>
  <c r="Z33" i="87"/>
  <c r="AS20" i="88"/>
  <c r="AI21" i="88"/>
  <c r="AL23" i="88"/>
  <c r="H189" i="88"/>
  <c r="BA12" i="86"/>
  <c r="W29" i="86"/>
  <c r="AI47" i="86"/>
  <c r="BC47" i="86"/>
  <c r="P35" i="87"/>
  <c r="AV13" i="88"/>
  <c r="AK21" i="88"/>
  <c r="AN23" i="88"/>
  <c r="AH10" i="92"/>
  <c r="U12" i="86"/>
  <c r="AO14" i="86"/>
  <c r="U26" i="86"/>
  <c r="U23" i="86" s="1"/>
  <c r="Y29" i="86"/>
  <c r="AS36" i="86"/>
  <c r="P25" i="87"/>
  <c r="AU10" i="88"/>
  <c r="AK13" i="88"/>
  <c r="BM18" i="88"/>
  <c r="BN18" i="88" s="1"/>
  <c r="BO18" i="88" s="1"/>
  <c r="BM19" i="88"/>
  <c r="BN19" i="88" s="1"/>
  <c r="BO19" i="88" s="1"/>
  <c r="BB90" i="88"/>
  <c r="Y197" i="88"/>
  <c r="T14" i="89"/>
  <c r="W14" i="89" s="1"/>
  <c r="AU44" i="86"/>
  <c r="AV44" i="86" s="1"/>
  <c r="L48" i="86"/>
  <c r="Z15" i="87"/>
  <c r="P33" i="87"/>
  <c r="Z36" i="87"/>
  <c r="U37" i="87"/>
  <c r="BC171" i="88"/>
  <c r="BH13" i="86"/>
  <c r="U14" i="86"/>
  <c r="AU30" i="86"/>
  <c r="AK36" i="86"/>
  <c r="L37" i="86"/>
  <c r="AM41" i="86"/>
  <c r="AY44" i="86"/>
  <c r="BG47" i="86"/>
  <c r="Y33" i="86"/>
  <c r="O36" i="86"/>
  <c r="AO41" i="86"/>
  <c r="BI47" i="86"/>
  <c r="U18" i="87"/>
  <c r="P27" i="87"/>
  <c r="N34" i="87"/>
  <c r="AH34" i="87"/>
  <c r="AS10" i="88"/>
  <c r="AI11" i="88"/>
  <c r="AK19" i="88"/>
  <c r="AL24" i="88"/>
  <c r="AI26" i="88"/>
  <c r="BB166" i="88"/>
  <c r="BB165" i="88" s="1"/>
  <c r="BB193" i="88" s="1"/>
  <c r="AA89" i="89"/>
  <c r="AB24" i="89"/>
  <c r="AM36" i="86"/>
  <c r="BK38" i="86"/>
  <c r="AQ41" i="86"/>
  <c r="BG44" i="86"/>
  <c r="BH44" i="86" s="1"/>
  <c r="U11" i="87"/>
  <c r="Z19" i="87"/>
  <c r="AG19" i="87" s="1"/>
  <c r="AE21" i="87"/>
  <c r="K30" i="87"/>
  <c r="O34" i="87"/>
  <c r="BC166" i="88"/>
  <c r="BC165" i="88" s="1"/>
  <c r="BC193" i="88" s="1"/>
  <c r="AB35" i="89"/>
  <c r="O139"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R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V49" i="96"/>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I11" i="90"/>
  <c r="S22" i="90"/>
  <c r="O15" i="90"/>
  <c r="C9" i="90"/>
  <c r="S9" i="90"/>
  <c r="C11" i="90"/>
  <c r="J11" i="90"/>
  <c r="R11" i="90"/>
  <c r="D9" i="90"/>
  <c r="D8" i="90" s="1"/>
  <c r="L9" i="90"/>
  <c r="L8" i="90" s="1"/>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I122"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111" i="89"/>
  <c r="I64" i="89"/>
  <c r="AA56" i="89"/>
  <c r="AA64" i="89"/>
  <c r="AI64" i="89"/>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87" i="88"/>
  <c r="AH211" i="88"/>
  <c r="AH110" i="88"/>
  <c r="AH88" i="88"/>
  <c r="BC128" i="88"/>
  <c r="BC129" i="88" s="1"/>
  <c r="BC92" i="88"/>
  <c r="AR213" i="88"/>
  <c r="AQ213" i="88"/>
  <c r="AO213" i="88"/>
  <c r="AR113" i="88"/>
  <c r="AZ114" i="88" s="1"/>
  <c r="AQ214" i="88"/>
  <c r="AR135" i="88"/>
  <c r="AZ136" i="88" s="1"/>
  <c r="AD15" i="88"/>
  <c r="AW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R104" i="88" s="1"/>
  <c r="AZ88" i="88"/>
  <c r="C128" i="88"/>
  <c r="C92" i="88"/>
  <c r="AO92" i="88"/>
  <c r="AL13" i="88"/>
  <c r="BM13" i="88"/>
  <c r="BN13" i="88" s="1"/>
  <c r="BO13" i="88" s="1"/>
  <c r="AL14" i="88"/>
  <c r="BM14" i="88"/>
  <c r="BN14" i="88" s="1"/>
  <c r="BO14" i="88" s="1"/>
  <c r="AI15" i="88"/>
  <c r="AI16" i="88"/>
  <c r="AV19" i="88"/>
  <c r="AY19" i="88" s="1"/>
  <c r="AR220" i="88"/>
  <c r="AQ220" i="88"/>
  <c r="AO220" i="88"/>
  <c r="AR119" i="88"/>
  <c r="AD23" i="88"/>
  <c r="BF23" i="88"/>
  <c r="BE23" i="88"/>
  <c r="AV26" i="88"/>
  <c r="AY26" i="88" s="1"/>
  <c r="P122" i="88"/>
  <c r="P90" i="88"/>
  <c r="AN27" i="88"/>
  <c r="AQ163" i="88"/>
  <c r="AQ125" i="88"/>
  <c r="AS28" i="88"/>
  <c r="BA114" i="88"/>
  <c r="S157" i="88"/>
  <c r="S71" i="88"/>
  <c r="AA8" i="88"/>
  <c r="BC107" i="88"/>
  <c r="BC87" i="88"/>
  <c r="AS11"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C104" i="88" s="1"/>
  <c r="AO107" i="88"/>
  <c r="BE10" i="88"/>
  <c r="BH10" i="88" s="1"/>
  <c r="AU11" i="88"/>
  <c r="BC110" i="88"/>
  <c r="BC88" i="88"/>
  <c r="AR212" i="88"/>
  <c r="AQ212" i="88"/>
  <c r="AO212" i="88"/>
  <c r="AR92" i="88"/>
  <c r="AZ128" i="88"/>
  <c r="AZ92" i="88"/>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R22" i="87" s="1"/>
  <c r="K47" i="87"/>
  <c r="AR29" i="87"/>
  <c r="K49" i="87"/>
  <c r="S58" i="87"/>
  <c r="P21" i="87"/>
  <c r="R21" i="87" s="1"/>
  <c r="AE24" i="87"/>
  <c r="H29" i="87"/>
  <c r="S34" i="87"/>
  <c r="U36" i="87"/>
  <c r="AE36" i="87"/>
  <c r="AJ36" i="87" s="1"/>
  <c r="AM36" i="87" s="1"/>
  <c r="X50" i="87"/>
  <c r="S65" i="87"/>
  <c r="S72" i="87"/>
  <c r="T34" i="87"/>
  <c r="T69" i="87" s="1"/>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AX11" i="86"/>
  <c r="BB13" i="86"/>
  <c r="BB11" i="86" s="1"/>
  <c r="F18" i="86"/>
  <c r="F17" i="86" s="1"/>
  <c r="R38" i="86"/>
  <c r="BH14" i="86"/>
  <c r="BG14" i="86"/>
  <c r="BG11" i="86" s="1"/>
  <c r="W15" i="86"/>
  <c r="L17" i="86"/>
  <c r="AJ19" i="86"/>
  <c r="AJ17" i="86" s="1"/>
  <c r="AI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BG23" i="86" s="1"/>
  <c r="AX28" i="86"/>
  <c r="BO29" i="86"/>
  <c r="BO28" i="86" s="1"/>
  <c r="Y30" i="86"/>
  <c r="BA30" i="86"/>
  <c r="U32" i="86"/>
  <c r="AC33" i="86"/>
  <c r="AD33" i="86" s="1"/>
  <c r="O34" i="86"/>
  <c r="W34" i="86"/>
  <c r="AM34" i="86"/>
  <c r="AY34" i="86"/>
  <c r="BI34" i="86"/>
  <c r="BH34" i="86" s="1"/>
  <c r="AX50" i="86"/>
  <c r="AZ50" i="86" s="1"/>
  <c r="AT50" i="86"/>
  <c r="C17" i="86"/>
  <c r="I17" i="86" s="1"/>
  <c r="K17" i="86"/>
  <c r="BN18" i="86"/>
  <c r="BD23" i="86"/>
  <c r="AK29" i="86"/>
  <c r="W48" i="86"/>
  <c r="X70" i="86"/>
  <c r="T53" i="86"/>
  <c r="AC30" i="86"/>
  <c r="AD30" i="86" s="1"/>
  <c r="AO30" i="86"/>
  <c r="Q34" i="86"/>
  <c r="Y34" i="86"/>
  <c r="X34" i="86" s="1"/>
  <c r="AG34" i="86"/>
  <c r="AA38" i="86"/>
  <c r="AT38" i="86"/>
  <c r="AU38" i="86" s="1"/>
  <c r="AV38" i="86" s="1"/>
  <c r="BE39" i="86"/>
  <c r="BK41" i="86"/>
  <c r="BO41" i="86"/>
  <c r="AA44" i="86"/>
  <c r="AC44" i="86"/>
  <c r="AD44" i="86" s="1"/>
  <c r="AJ53" i="86"/>
  <c r="AO19" i="86"/>
  <c r="U21" i="86"/>
  <c r="BA21" i="86"/>
  <c r="AV24" i="86"/>
  <c r="AV23" i="86" s="1"/>
  <c r="BM24" i="86"/>
  <c r="BM25" i="86"/>
  <c r="E28" i="86"/>
  <c r="AC29" i="86"/>
  <c r="AO29" i="86"/>
  <c r="S36" i="86"/>
  <c r="R36" i="86" s="1"/>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AI41" i="86"/>
  <c r="AM43" i="86"/>
  <c r="AQ43" i="86" s="1"/>
  <c r="BK43" i="86"/>
  <c r="K44" i="86"/>
  <c r="L44" i="86" s="1"/>
  <c r="K48" i="86"/>
  <c r="W16" i="92"/>
  <c r="W15" i="92" s="1"/>
  <c r="W12" i="97"/>
  <c r="AF42" i="95"/>
  <c r="AJ89" i="89"/>
  <c r="U49" i="90"/>
  <c r="U50" i="90" s="1"/>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H17" i="97"/>
  <c r="AC49" i="95"/>
  <c r="AJ16" i="92"/>
  <c r="AJ15" i="92" s="1"/>
  <c r="T158" i="88"/>
  <c r="Z52" i="88"/>
  <c r="F100" i="89"/>
  <c r="M16" i="87"/>
  <c r="S121" i="88"/>
  <c r="D91" i="89"/>
  <c r="Q120" i="89"/>
  <c r="W23" i="97"/>
  <c r="E115" i="93"/>
  <c r="F82" i="89"/>
  <c r="AD88" i="88"/>
  <c r="Z97" i="88"/>
  <c r="D100" i="89"/>
  <c r="F66" i="89"/>
  <c r="D97" i="89"/>
  <c r="AF90" i="89"/>
  <c r="F75" i="89"/>
  <c r="O39" i="99"/>
  <c r="T67" i="88"/>
  <c r="F94" i="89"/>
  <c r="E146" i="93"/>
  <c r="O126" i="89"/>
  <c r="E128" i="93"/>
  <c r="AH15" i="92"/>
  <c r="AB12" i="87"/>
  <c r="AG15" i="92"/>
  <c r="R18" i="99"/>
  <c r="X29" i="86"/>
  <c r="W27" i="97"/>
  <c r="AB37" i="92"/>
  <c r="Q13" i="90"/>
  <c r="AC29" i="95"/>
  <c r="J57" i="90"/>
  <c r="U57" i="90"/>
  <c r="W23" i="90"/>
  <c r="AC8" i="92"/>
  <c r="AU23" i="86"/>
  <c r="AX55" i="86"/>
  <c r="AR54" i="86"/>
  <c r="D27" i="92"/>
  <c r="Q9" i="92"/>
  <c r="R50" i="95"/>
  <c r="H30" i="97"/>
  <c r="R59" i="95"/>
  <c r="S14" i="99"/>
  <c r="O49" i="90"/>
  <c r="O50" i="90" s="1"/>
  <c r="AD33" i="92"/>
  <c r="AE33" i="92" s="1"/>
  <c r="H27" i="97"/>
  <c r="AV12" i="87"/>
  <c r="W26" i="90"/>
  <c r="AJ10" i="92"/>
  <c r="Q12" i="92"/>
  <c r="J52" i="90"/>
  <c r="H24" i="97"/>
  <c r="AC50" i="95"/>
  <c r="W29" i="97"/>
  <c r="O57" i="90"/>
  <c r="AX24" i="89"/>
  <c r="O7" i="94"/>
  <c r="U8" i="90"/>
  <c r="AF41" i="95"/>
  <c r="AA72" i="89"/>
  <c r="M57" i="90"/>
  <c r="AF50" i="95"/>
  <c r="K16" i="96"/>
  <c r="W49" i="96"/>
  <c r="X49" i="96" s="1"/>
  <c r="S11" i="89"/>
  <c r="S120" i="89" s="1"/>
  <c r="AP41" i="86"/>
  <c r="L18" i="96"/>
  <c r="L5" i="98"/>
  <c r="C57" i="90"/>
  <c r="Q14" i="99"/>
  <c r="O14" i="99" s="1"/>
  <c r="J50" i="99"/>
  <c r="J62" i="99"/>
  <c r="L14" i="99"/>
  <c r="V14" i="100"/>
  <c r="V21" i="100" s="1"/>
  <c r="J13" i="100"/>
  <c r="J5" i="100" s="1"/>
  <c r="L24" i="96"/>
  <c r="I49" i="96"/>
  <c r="AF49" i="96"/>
  <c r="O49" i="96"/>
  <c r="AD53" i="96"/>
  <c r="L32" i="95"/>
  <c r="N31" i="95"/>
  <c r="R35" i="95"/>
  <c r="AI9" i="94"/>
  <c r="AJ9" i="94" s="1"/>
  <c r="AI7" i="94"/>
  <c r="AJ7" i="94" s="1"/>
  <c r="G79" i="93"/>
  <c r="G72" i="93" s="1"/>
  <c r="AD18" i="92"/>
  <c r="AD8" i="92" s="1"/>
  <c r="I18" i="91"/>
  <c r="Q52" i="90"/>
  <c r="S8" i="90"/>
  <c r="C8" i="90"/>
  <c r="H149" i="89"/>
  <c r="H138" i="89"/>
  <c r="M109" i="89"/>
  <c r="L109" i="89"/>
  <c r="O112" i="89"/>
  <c r="W70" i="89"/>
  <c r="S65" i="89"/>
  <c r="T64" i="89"/>
  <c r="AA125" i="89"/>
  <c r="AB125" i="89" s="1"/>
  <c r="AB124" i="89"/>
  <c r="AN92" i="89"/>
  <c r="W147" i="89"/>
  <c r="AI65" i="89"/>
  <c r="O104" i="89"/>
  <c r="AH65" i="89"/>
  <c r="E111" i="89"/>
  <c r="E112" i="89" s="1"/>
  <c r="E54" i="89"/>
  <c r="E58" i="89"/>
  <c r="E56" i="89"/>
  <c r="E61" i="89"/>
  <c r="E10" i="89"/>
  <c r="E8" i="89" s="1"/>
  <c r="AF78" i="89"/>
  <c r="D69" i="89"/>
  <c r="D62" i="89"/>
  <c r="AI126" i="89"/>
  <c r="J148" i="89"/>
  <c r="L145" i="89"/>
  <c r="D109" i="89"/>
  <c r="F105" i="89"/>
  <c r="F104" i="89"/>
  <c r="F57" i="89"/>
  <c r="F8" i="89"/>
  <c r="O100" i="89"/>
  <c r="O94" i="89"/>
  <c r="AA11" i="89"/>
  <c r="AA120" i="89" s="1"/>
  <c r="AI123"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AJ124" i="89"/>
  <c r="H146" i="89"/>
  <c r="D94" i="89"/>
  <c r="H155" i="89"/>
  <c r="I155" i="89" s="1"/>
  <c r="I52" i="89"/>
  <c r="W52" i="89" s="1"/>
  <c r="W48" i="89"/>
  <c r="W29" i="89"/>
  <c r="W27" i="89"/>
  <c r="L126" i="89"/>
  <c r="I55" i="89"/>
  <c r="W17" i="89"/>
  <c r="AN27" i="89"/>
  <c r="AA86" i="88"/>
  <c r="Y39" i="88"/>
  <c r="Y85" i="88"/>
  <c r="Y50" i="88"/>
  <c r="AR12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AR7" i="88"/>
  <c r="AR50" i="88" s="1"/>
  <c r="X156" i="88"/>
  <c r="X97" i="88"/>
  <c r="X65" i="88"/>
  <c r="X68" i="88"/>
  <c r="X66" i="88"/>
  <c r="X85" i="88"/>
  <c r="X101" i="88"/>
  <c r="X121" i="88" s="1"/>
  <c r="BA100" i="88"/>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BC126" i="88"/>
  <c r="Z33" i="88"/>
  <c r="Z31" i="88" s="1"/>
  <c r="Z39" i="88" s="1"/>
  <c r="BA123" i="88"/>
  <c r="BB129" i="88"/>
  <c r="BC9" i="88"/>
  <c r="BC159" i="88" s="1"/>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C7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W16" i="87"/>
  <c r="BB16" i="87" s="1"/>
  <c r="AU43" i="86"/>
  <c r="V49" i="86"/>
  <c r="U49" i="86"/>
  <c r="N53" i="86"/>
  <c r="AR53" i="86" s="1"/>
  <c r="AS23" i="86"/>
  <c r="Q87" i="86"/>
  <c r="F12" i="86"/>
  <c r="F11" i="86"/>
  <c r="E11" i="86"/>
  <c r="E9" i="86" s="1"/>
  <c r="T52" i="86"/>
  <c r="L24" i="86"/>
  <c r="L23" i="86" s="1"/>
  <c r="C9" i="86"/>
  <c r="C113" i="89"/>
  <c r="K8" i="91"/>
  <c r="K9" i="91"/>
  <c r="C154" i="89"/>
  <c r="C138" i="89"/>
  <c r="T77" i="88"/>
  <c r="K10" i="91"/>
  <c r="Q123" i="89"/>
  <c r="AF19" i="92"/>
  <c r="AE18" i="92"/>
  <c r="AE8" i="92" s="1"/>
  <c r="AI184" i="89"/>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101" i="88"/>
  <c r="BC149" i="88" s="1"/>
  <c r="BC85" i="88"/>
  <c r="BC96" i="88" s="1"/>
  <c r="BC68" i="88"/>
  <c r="BC50"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AA37" i="44"/>
  <c r="Z37" i="44"/>
  <c r="R37" i="44"/>
  <c r="F53" i="154" s="1"/>
  <c r="L37" i="44"/>
  <c r="K37" i="44"/>
  <c r="D37" i="44"/>
  <c r="AA36" i="44"/>
  <c r="AE36" i="44"/>
  <c r="AB36" i="44"/>
  <c r="R36" i="44"/>
  <c r="F55" i="154" s="1"/>
  <c r="L36" i="44"/>
  <c r="K36" i="44"/>
  <c r="D36" i="44"/>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AC26" i="48"/>
  <c r="EB16" i="51"/>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8" i="24"/>
  <c r="P18" i="24" s="1"/>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N80" i="1" s="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N8" i="8"/>
  <c r="N10" i="8" s="1"/>
  <c r="M8" i="8"/>
  <c r="L8" i="8"/>
  <c r="L25" i="8" s="1"/>
  <c r="K8" i="8"/>
  <c r="K10" i="8" s="1"/>
  <c r="J8" i="8"/>
  <c r="I8" i="8"/>
  <c r="I10" i="8" s="1"/>
  <c r="H8" i="8"/>
  <c r="G8" i="8"/>
  <c r="F8" i="8"/>
  <c r="F10" i="8" s="1"/>
  <c r="D8" i="8"/>
  <c r="D25" i="8" s="1"/>
  <c r="C29" i="8"/>
  <c r="BR52" i="3"/>
  <c r="C50" i="6"/>
  <c r="C46" i="6"/>
  <c r="C35" i="6"/>
  <c r="O25" i="8"/>
  <c r="G10" i="8"/>
  <c r="O10"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O25" i="99" l="1"/>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R33" i="96" s="1"/>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I61" i="100" s="1"/>
  <c r="C31" i="100"/>
  <c r="E32" i="100"/>
  <c r="C32" i="100" s="1"/>
  <c r="O31" i="100"/>
  <c r="Q32" i="100"/>
  <c r="T31" i="100"/>
  <c r="K51" i="99"/>
  <c r="K6" i="99"/>
  <c r="I8" i="99"/>
  <c r="C16" i="99"/>
  <c r="D15" i="99"/>
  <c r="C15" i="99" s="1"/>
  <c r="C13" i="99" s="1"/>
  <c r="C5"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V5" i="90" s="1"/>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8"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N28" i="95" s="1"/>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Z39" i="95" s="1"/>
  <c r="X39" i="95" s="1"/>
  <c r="G57" i="95"/>
  <c r="E57" i="95" s="1"/>
  <c r="H56" i="95"/>
  <c r="I56" i="95"/>
  <c r="I38" i="95" s="1"/>
  <c r="G58" i="95"/>
  <c r="E58" i="95" s="1"/>
  <c r="AF58" i="95" s="1"/>
  <c r="AF12" i="96"/>
  <c r="H11" i="96"/>
  <c r="K12" i="96"/>
  <c r="L12" i="96" s="1"/>
  <c r="K19" i="96"/>
  <c r="AF19" i="96"/>
  <c r="H17" i="96"/>
  <c r="AF17" i="96" s="1"/>
  <c r="AC20" i="96"/>
  <c r="AD20" i="96" s="1"/>
  <c r="AD17"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S22" i="99" s="1"/>
  <c r="F25" i="99"/>
  <c r="G23" i="99"/>
  <c r="G22" i="99" s="1"/>
  <c r="K23" i="99"/>
  <c r="K22" i="99" s="1"/>
  <c r="K21" i="99" s="1"/>
  <c r="T27" i="99"/>
  <c r="E32" i="99"/>
  <c r="C29" i="99"/>
  <c r="T29" i="99"/>
  <c r="O29" i="99"/>
  <c r="O22" i="99" s="1"/>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N57" i="99" s="1"/>
  <c r="N58" i="99" s="1"/>
  <c r="N59" i="99" s="1"/>
  <c r="N60"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D17" i="178"/>
  <c r="L11" i="44"/>
  <c r="H36" i="46" s="1"/>
  <c r="F36" i="46" s="1"/>
  <c r="E36" i="46"/>
  <c r="C36" i="46" s="1"/>
  <c r="Q81" i="6"/>
  <c r="C19" i="1"/>
  <c r="K10" i="13"/>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C24" i="159"/>
  <c r="L20" i="64"/>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64"/>
  <c r="S32" i="40"/>
  <c r="S37" i="40" s="1"/>
  <c r="S34" i="40" s="1"/>
  <c r="AW13" i="41"/>
  <c r="AW11" i="41" s="1"/>
  <c r="AW78" i="41"/>
  <c r="AW77" i="41" s="1"/>
  <c r="AR52" i="41"/>
  <c r="AH51" i="41"/>
  <c r="L22" i="47"/>
  <c r="M22" i="47"/>
  <c r="K22" i="47"/>
  <c r="J11" i="48"/>
  <c r="I11" i="48"/>
  <c r="D49" i="150"/>
  <c r="BM49" i="150" s="1"/>
  <c r="E66" i="154"/>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D18" i="178"/>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62"/>
  <c r="P69" i="162" s="1"/>
  <c r="C69" i="162" s="1"/>
  <c r="AC69" i="60"/>
  <c r="X69" i="88"/>
  <c r="V81" i="88"/>
  <c r="V73" i="88"/>
  <c r="AD86" i="88"/>
  <c r="AA69" i="89"/>
  <c r="BQ63" i="88"/>
  <c r="H69" i="89"/>
  <c r="H63" i="89"/>
  <c r="H91" i="89"/>
  <c r="H72" i="89"/>
  <c r="H82" i="89"/>
  <c r="H100" i="89"/>
  <c r="H103" i="89"/>
  <c r="H88" i="89"/>
  <c r="C11" i="82"/>
  <c r="AI10" i="62"/>
  <c r="C27" i="82"/>
  <c r="C26" i="82" s="1"/>
  <c r="AG25" i="62"/>
  <c r="D53" i="154"/>
  <c r="D47" i="150"/>
  <c r="H39" i="44"/>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U13" i="64"/>
  <c r="U13" i="164"/>
  <c r="U40" i="43"/>
  <c r="V17" i="94" s="1"/>
  <c r="Q17" i="94" s="1"/>
  <c r="P17" i="94" s="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16" i="178"/>
  <c r="D40" i="150"/>
  <c r="BM40" i="150" s="1"/>
  <c r="BG32" i="47"/>
  <c r="BG30" i="47" s="1"/>
  <c r="DO30" i="47"/>
  <c r="DQ17" i="47"/>
  <c r="EZ17" i="47"/>
  <c r="W35" i="47"/>
  <c r="W33" i="47" s="1"/>
  <c r="FM16" i="51"/>
  <c r="FM11" i="51" s="1"/>
  <c r="FM10" i="51" s="1"/>
  <c r="P61" i="43"/>
  <c r="P57" i="43" s="1"/>
  <c r="J51" i="44"/>
  <c r="CV11" i="47"/>
  <c r="DP12" i="47"/>
  <c r="H16" i="47"/>
  <c r="EF30" i="47"/>
  <c r="EF40" i="47" s="1"/>
  <c r="C132" i="83"/>
  <c r="E138" i="89"/>
  <c r="E154" i="89"/>
  <c r="E146" i="89"/>
  <c r="E107" i="89"/>
  <c r="K19" i="91"/>
  <c r="K18" i="91"/>
  <c r="K20" i="91"/>
  <c r="U84" i="89"/>
  <c r="H22" i="92"/>
  <c r="H21" i="92" s="1"/>
  <c r="C36" i="78"/>
  <c r="W35" i="62"/>
  <c r="C11" i="84"/>
  <c r="AO10" i="62"/>
  <c r="C52" i="13"/>
  <c r="I17" i="64"/>
  <c r="I17" i="164"/>
  <c r="U11" i="22"/>
  <c r="U10" i="22" s="1"/>
  <c r="I50" i="38"/>
  <c r="F30" i="39"/>
  <c r="O17" i="64"/>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D45" i="150"/>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H54" i="43"/>
  <c r="E15" i="49"/>
  <c r="K22" i="62"/>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C27" i="159"/>
  <c r="H17" i="112"/>
  <c r="H17" i="178"/>
  <c r="AD119" i="60"/>
  <c r="AD119" i="162"/>
  <c r="D56" i="58"/>
  <c r="D56" i="160"/>
  <c r="J20" i="138"/>
  <c r="J11" i="178"/>
  <c r="K12" i="112"/>
  <c r="K12" i="178"/>
  <c r="BB53" i="41"/>
  <c r="BY53" i="41" s="1"/>
  <c r="BZ53" i="41" s="1"/>
  <c r="AH26" i="47"/>
  <c r="AH23" i="47" s="1"/>
  <c r="C132" i="74"/>
  <c r="FC12" i="51"/>
  <c r="C29" i="84"/>
  <c r="S59" i="13"/>
  <c r="C37" i="161"/>
  <c r="S61" i="162"/>
  <c r="P61" i="162" s="1"/>
  <c r="C61" i="162" s="1"/>
  <c r="AC73" i="162"/>
  <c r="P73" i="162" s="1"/>
  <c r="C73" i="162"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62"/>
  <c r="D20" i="68"/>
  <c r="C32" i="45"/>
  <c r="H14" i="112"/>
  <c r="H14" i="178"/>
  <c r="I8" i="60"/>
  <c r="I8" i="162"/>
  <c r="D20" i="179"/>
  <c r="D20" i="163"/>
  <c r="H33" i="151"/>
  <c r="AH16" i="13"/>
  <c r="AJ16" i="162"/>
  <c r="J12" i="112"/>
  <c r="J12" i="178"/>
  <c r="K13" i="112"/>
  <c r="K13" i="178"/>
  <c r="O72" i="46"/>
  <c r="BB52" i="41"/>
  <c r="BY52" i="41" s="1"/>
  <c r="BZ52" i="41" s="1"/>
  <c r="BA53" i="41"/>
  <c r="AC63" i="13"/>
  <c r="AC66" i="162"/>
  <c r="AJ23" i="14"/>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62"/>
  <c r="C166" i="13"/>
  <c r="C14" i="161"/>
  <c r="C36" i="158"/>
  <c r="C35" i="158" s="1"/>
  <c r="H17" i="44"/>
  <c r="S13" i="52"/>
  <c r="EK32" i="47"/>
  <c r="H12" i="112"/>
  <c r="H12" i="178"/>
  <c r="H15" i="112"/>
  <c r="H15" i="178"/>
  <c r="C56" i="68"/>
  <c r="J8" i="60"/>
  <c r="J8" i="162"/>
  <c r="J16" i="112"/>
  <c r="J16" i="178"/>
  <c r="K14" i="112"/>
  <c r="K14" i="178"/>
  <c r="BB54" i="41"/>
  <c r="BY54" i="41" s="1"/>
  <c r="BZ54" i="41" s="1"/>
  <c r="BF16" i="41"/>
  <c r="BA52" i="4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J87" i="88"/>
  <c r="C13" i="54"/>
  <c r="C13" i="66" s="1"/>
  <c r="C25" i="159"/>
  <c r="C13" i="158"/>
  <c r="O18" i="44"/>
  <c r="H13" i="112"/>
  <c r="H13" i="178"/>
  <c r="H19" i="112"/>
  <c r="H19" i="178"/>
  <c r="K8" i="60"/>
  <c r="K8" i="162"/>
  <c r="Z12" i="13"/>
  <c r="Z18" i="162"/>
  <c r="AG44" i="13"/>
  <c r="AC137" i="13"/>
  <c r="K15" i="112"/>
  <c r="K15" i="178"/>
  <c r="Y12" i="13"/>
  <c r="Y27" i="162"/>
  <c r="D46" i="160"/>
  <c r="D26" i="150"/>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C19" i="159"/>
  <c r="M17" i="44"/>
  <c r="F45" i="45"/>
  <c r="H10" i="112"/>
  <c r="H10" i="178"/>
  <c r="H8" i="112"/>
  <c r="H8" i="178"/>
  <c r="J117" i="162"/>
  <c r="J10" i="162" s="1"/>
  <c r="L9" i="60"/>
  <c r="L9" i="162"/>
  <c r="H36" i="151"/>
  <c r="E64" i="154"/>
  <c r="C57" i="158"/>
  <c r="C56" i="158" s="1"/>
  <c r="E38" i="70"/>
  <c r="E31" i="110"/>
  <c r="E29" i="110" s="1"/>
  <c r="K8" i="178"/>
  <c r="K16" i="112"/>
  <c r="K16" i="178"/>
  <c r="I10" i="13"/>
  <c r="I116" i="162"/>
  <c r="I10" i="162" s="1"/>
  <c r="D14" i="150"/>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62"/>
  <c r="C36" i="161"/>
  <c r="H11" i="112"/>
  <c r="H11" i="178"/>
  <c r="M9" i="60"/>
  <c r="M9" i="162"/>
  <c r="Z101" i="162"/>
  <c r="B84" i="13"/>
  <c r="B86" i="162"/>
  <c r="AH37" i="13"/>
  <c r="AJ37" i="162"/>
  <c r="AH37" i="162" s="1"/>
  <c r="C37" i="162" s="1"/>
  <c r="K9" i="178"/>
  <c r="K17" i="112"/>
  <c r="K17" i="178"/>
  <c r="Z103" i="162"/>
  <c r="P103" i="162" s="1"/>
  <c r="C103" i="162" s="1"/>
  <c r="C58" i="158"/>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62"/>
  <c r="C44" i="45"/>
  <c r="E62" i="45"/>
  <c r="H9" i="112"/>
  <c r="H9" i="178"/>
  <c r="H18" i="112"/>
  <c r="H18" i="178"/>
  <c r="E38" i="154"/>
  <c r="C33" i="158"/>
  <c r="N9" i="60"/>
  <c r="N9" i="162"/>
  <c r="AI44" i="13"/>
  <c r="AI11" i="13" s="1"/>
  <c r="AJ30" i="162"/>
  <c r="AH30" i="162" s="1"/>
  <c r="C30" i="162" s="1"/>
  <c r="L10" i="13"/>
  <c r="L118" i="162"/>
  <c r="L10" i="162" s="1"/>
  <c r="K10" i="112"/>
  <c r="K10" i="178"/>
  <c r="K18" i="112"/>
  <c r="K18" i="178"/>
  <c r="Q59" i="46"/>
  <c r="S11" i="94"/>
  <c r="Y11" i="94" s="1"/>
  <c r="C14" i="159"/>
  <c r="J20" i="150"/>
  <c r="J45" i="150"/>
  <c r="BV45" i="150" s="1"/>
  <c r="X35" i="30"/>
  <c r="AQ10" i="89"/>
  <c r="AQ8" i="89" s="1"/>
  <c r="E33" i="92"/>
  <c r="E32" i="92" s="1"/>
  <c r="E31" i="92" s="1"/>
  <c r="K21" i="139"/>
  <c r="X16" i="139"/>
  <c r="AC16" i="139" s="1"/>
  <c r="AD17" i="139"/>
  <c r="E24" i="139"/>
  <c r="L34" i="139"/>
  <c r="Q49" i="139"/>
  <c r="C62" i="141"/>
  <c r="C42" i="142"/>
  <c r="C54" i="142"/>
  <c r="S17" i="94"/>
  <c r="I11" i="64"/>
  <c r="I11" i="164"/>
  <c r="H16" i="112"/>
  <c r="H16" i="178"/>
  <c r="J20" i="64"/>
  <c r="J20" i="164"/>
  <c r="AD10" i="13"/>
  <c r="P197" i="13" s="1"/>
  <c r="C37" i="54"/>
  <c r="C37" i="66" s="1"/>
  <c r="C37" i="158"/>
  <c r="G8" i="60"/>
  <c r="G8" i="162"/>
  <c r="O9" i="60"/>
  <c r="O9" i="162"/>
  <c r="AC68" i="162"/>
  <c r="P68" i="162" s="1"/>
  <c r="C68" i="162" s="1"/>
  <c r="M10" i="13"/>
  <c r="M118" i="162"/>
  <c r="M10" i="162" s="1"/>
  <c r="K11" i="112"/>
  <c r="K11" i="178"/>
  <c r="K19" i="112"/>
  <c r="K19" i="178"/>
  <c r="L70" i="45"/>
  <c r="C13" i="159"/>
  <c r="BI40" i="43"/>
  <c r="AF27" i="43"/>
  <c r="C30" i="150"/>
  <c r="K30" i="150" s="1"/>
  <c r="C14" i="149"/>
  <c r="U19" i="43"/>
  <c r="L40" i="43"/>
  <c r="M14" i="45"/>
  <c r="L14" i="45" s="1"/>
  <c r="BE54" i="41"/>
  <c r="AL51" i="43"/>
  <c r="U17" i="94"/>
  <c r="H60" i="43"/>
  <c r="J71" i="43"/>
  <c r="AZ30" i="43"/>
  <c r="Q72" i="43"/>
  <c r="Q72" i="150" s="1"/>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C24" i="140"/>
  <c r="BC75" i="88"/>
  <c r="H35" i="97"/>
  <c r="AV138" i="88"/>
  <c r="AY138" i="88" s="1"/>
  <c r="BE138" i="88" s="1"/>
  <c r="BH138" i="88" s="1"/>
  <c r="AQ111" i="88"/>
  <c r="X37" i="86"/>
  <c r="BE45" i="86"/>
  <c r="U31" i="87"/>
  <c r="AS27" i="87"/>
  <c r="AX27" i="87" s="1"/>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U8" i="88" s="1"/>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BB105" i="88"/>
  <c r="AQ68" i="88"/>
  <c r="AQ81" i="88" s="1"/>
  <c r="S54" i="87"/>
  <c r="AV153" i="88"/>
  <c r="AY153" i="88" s="1"/>
  <c r="U8" i="95"/>
  <c r="R14" i="99"/>
  <c r="AQ27" i="87"/>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R23" i="99" s="1"/>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Z38" i="95" s="1"/>
  <c r="X38" i="95" s="1"/>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W18" i="97" l="1"/>
  <c r="U15" i="97"/>
  <c r="BF43" i="86"/>
  <c r="BA43" i="86"/>
  <c r="Q82" i="96"/>
  <c r="Q83" i="96" s="1"/>
  <c r="Q84" i="96" s="1"/>
  <c r="Q85" i="96" s="1"/>
  <c r="Q86" i="96" s="1"/>
  <c r="R38" i="96"/>
  <c r="D23" i="141"/>
  <c r="D22" i="141" s="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I45"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N62" i="95" s="1"/>
  <c r="L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D12" i="178"/>
  <c r="T11" i="64"/>
  <c r="T11" i="164"/>
  <c r="C45" i="158"/>
  <c r="V92" i="162"/>
  <c r="C32" i="158"/>
  <c r="D69" i="88"/>
  <c r="U19" i="64"/>
  <c r="U19" i="164"/>
  <c r="E17" i="178"/>
  <c r="D15" i="178"/>
  <c r="D11" i="178"/>
  <c r="E19" i="178"/>
  <c r="E9" i="178"/>
  <c r="C41" i="78"/>
  <c r="R11" i="164"/>
  <c r="R14" i="64"/>
  <c r="R14" i="164"/>
  <c r="C35" i="60"/>
  <c r="AB110" i="162"/>
  <c r="P8" i="87"/>
  <c r="P7" i="87" s="1"/>
  <c r="AB102" i="88"/>
  <c r="L13" i="43"/>
  <c r="C137" i="72"/>
  <c r="FE30" i="47"/>
  <c r="F14" i="112"/>
  <c r="F14" i="178"/>
  <c r="BN41" i="36"/>
  <c r="BJ25" i="41"/>
  <c r="AU10" i="36"/>
  <c r="L16" i="64"/>
  <c r="L16" i="164"/>
  <c r="C55" i="161"/>
  <c r="D37" i="160"/>
  <c r="C37" i="160" s="1"/>
  <c r="F27" i="38"/>
  <c r="I18" i="64"/>
  <c r="I18" i="164"/>
  <c r="C22" i="158"/>
  <c r="F55" i="152"/>
  <c r="O14" i="7"/>
  <c r="X17" i="94"/>
  <c r="AB17" i="94"/>
  <c r="Y17" i="94"/>
  <c r="S59" i="162"/>
  <c r="P60" i="162"/>
  <c r="AJ23" i="62"/>
  <c r="AL23" i="14"/>
  <c r="AL21" i="14" s="1"/>
  <c r="AJ21" i="14"/>
  <c r="AH16" i="162"/>
  <c r="D19" i="179"/>
  <c r="D12" i="179" s="1"/>
  <c r="D8" i="179" s="1"/>
  <c r="D7" i="179" s="1"/>
  <c r="C20" i="179"/>
  <c r="C19" i="179" s="1"/>
  <c r="C12" i="179" s="1"/>
  <c r="C8" i="179" s="1"/>
  <c r="C7" i="179" s="1"/>
  <c r="F75" i="88"/>
  <c r="F159" i="88"/>
  <c r="C119" i="162"/>
  <c r="AD10" i="162"/>
  <c r="T18" i="64"/>
  <c r="T18" i="164"/>
  <c r="P18" i="37"/>
  <c r="J42" i="35"/>
  <c r="P19" i="33"/>
  <c r="J42" i="7"/>
  <c r="J42" i="6"/>
  <c r="P17" i="4"/>
  <c r="M18" i="4"/>
  <c r="J42" i="39"/>
  <c r="J78" i="39" s="1"/>
  <c r="AU31" i="37"/>
  <c r="W31" i="37"/>
  <c r="Y31" i="37" s="1"/>
  <c r="BN40" i="41"/>
  <c r="BS40" i="41"/>
  <c r="P14" i="33"/>
  <c r="J37" i="35"/>
  <c r="I37" i="35" s="1"/>
  <c r="J37" i="7"/>
  <c r="I37" i="7" s="1"/>
  <c r="J37" i="39"/>
  <c r="I37" i="39" s="1"/>
  <c r="J37" i="6"/>
  <c r="I37" i="6" s="1"/>
  <c r="M14" i="4"/>
  <c r="M14" i="33" s="1"/>
  <c r="J37" i="38"/>
  <c r="I37" i="38" s="1"/>
  <c r="J37" i="34"/>
  <c r="I37" i="34" s="1"/>
  <c r="O20" i="164"/>
  <c r="G61" i="1"/>
  <c r="G25" i="31" s="1"/>
  <c r="F43" i="44"/>
  <c r="H25" i="31"/>
  <c r="J61" i="1"/>
  <c r="D23" i="7"/>
  <c r="C23" i="7" s="1"/>
  <c r="D23" i="6"/>
  <c r="C23" i="6" s="1"/>
  <c r="D23" i="35"/>
  <c r="C23" i="35" s="1"/>
  <c r="D23" i="38"/>
  <c r="C23" i="38" s="1"/>
  <c r="F38" i="4"/>
  <c r="D23" i="39"/>
  <c r="C23" i="39" s="1"/>
  <c r="Y25" i="37"/>
  <c r="E14" i="178"/>
  <c r="C21" i="66"/>
  <c r="C36" i="159"/>
  <c r="D30" i="160"/>
  <c r="C30" i="160" s="1"/>
  <c r="C48" i="161"/>
  <c r="R12" i="100"/>
  <c r="R10" i="64"/>
  <c r="R10" i="164"/>
  <c r="H29" i="23"/>
  <c r="H12" i="23" s="1"/>
  <c r="F16" i="112"/>
  <c r="F16" i="178"/>
  <c r="F10" i="112"/>
  <c r="F10" i="178"/>
  <c r="BN30" i="36"/>
  <c r="C13" i="64"/>
  <c r="C13" i="164"/>
  <c r="I10" i="164"/>
  <c r="U17" i="64"/>
  <c r="U17" i="164"/>
  <c r="Y97" i="13"/>
  <c r="Y99" i="162"/>
  <c r="BE36" i="41"/>
  <c r="C54" i="158"/>
  <c r="E40" i="154"/>
  <c r="H40" i="154" s="1"/>
  <c r="T17" i="44"/>
  <c r="O118" i="13" s="1"/>
  <c r="AJ30" i="14"/>
  <c r="EN32" i="47"/>
  <c r="EM32" i="47"/>
  <c r="EM30" i="47" s="1"/>
  <c r="EK30" i="47"/>
  <c r="I32" i="47"/>
  <c r="AH55" i="162"/>
  <c r="AJ51" i="162"/>
  <c r="AJ44" i="162" s="1"/>
  <c r="J20" i="178"/>
  <c r="K105" i="88"/>
  <c r="Q105" i="88" s="1"/>
  <c r="L105" i="88"/>
  <c r="P10" i="64"/>
  <c r="P10" i="164"/>
  <c r="G42" i="38"/>
  <c r="F42" i="38" s="1"/>
  <c r="G42" i="7"/>
  <c r="G42" i="6"/>
  <c r="F42" i="6" s="1"/>
  <c r="H18" i="4"/>
  <c r="P29" i="7"/>
  <c r="AF67" i="1"/>
  <c r="C65" i="9"/>
  <c r="C51" i="9"/>
  <c r="S44" i="23"/>
  <c r="E58" i="154"/>
  <c r="C51" i="158"/>
  <c r="W57" i="139"/>
  <c r="AB57" i="139" s="1"/>
  <c r="E8" i="178"/>
  <c r="D8" i="178"/>
  <c r="T17" i="64"/>
  <c r="T17" i="164"/>
  <c r="J57" i="45"/>
  <c r="I57" i="45" s="1"/>
  <c r="C20" i="58"/>
  <c r="J15" i="64"/>
  <c r="J15" i="164"/>
  <c r="G30" i="47"/>
  <c r="D40" i="160"/>
  <c r="C40" i="160" s="1"/>
  <c r="C58" i="161"/>
  <c r="O19" i="64"/>
  <c r="O19" i="164"/>
  <c r="T50" i="87"/>
  <c r="T46" i="87" s="1"/>
  <c r="AW145" i="88"/>
  <c r="C31" i="45"/>
  <c r="BP28" i="150"/>
  <c r="BO28" i="150" s="1"/>
  <c r="X96" i="60"/>
  <c r="X96" i="162"/>
  <c r="J38" i="151"/>
  <c r="Y11" i="150"/>
  <c r="D36" i="160"/>
  <c r="C54" i="161"/>
  <c r="C53" i="161" s="1"/>
  <c r="F27" i="27"/>
  <c r="F23" i="27" s="1"/>
  <c r="H75" i="88"/>
  <c r="K76" i="88" s="1"/>
  <c r="Q76" i="88" s="1"/>
  <c r="K67" i="88"/>
  <c r="Q67" i="88" s="1"/>
  <c r="H159" i="88"/>
  <c r="H20" i="178"/>
  <c r="M26" i="39"/>
  <c r="L26" i="39" s="1"/>
  <c r="Z64" i="1"/>
  <c r="M26" i="6"/>
  <c r="L26" i="6" s="1"/>
  <c r="AP12" i="3"/>
  <c r="AP10" i="3"/>
  <c r="Z67" i="1"/>
  <c r="M29" i="38"/>
  <c r="L29" i="38" s="1"/>
  <c r="M29" i="6"/>
  <c r="L29" i="6" s="1"/>
  <c r="L16" i="31"/>
  <c r="P42" i="1"/>
  <c r="K19" i="1"/>
  <c r="BE19" i="1"/>
  <c r="I14" i="20"/>
  <c r="I11" i="20"/>
  <c r="I17" i="20"/>
  <c r="I12" i="20"/>
  <c r="N83" i="39"/>
  <c r="BD65" i="3"/>
  <c r="U18" i="64"/>
  <c r="U18" i="164"/>
  <c r="E18" i="178"/>
  <c r="R19" i="64"/>
  <c r="R19" i="164"/>
  <c r="I14" i="164"/>
  <c r="B82" i="60"/>
  <c r="B82" i="162"/>
  <c r="N25" i="43"/>
  <c r="U14" i="64"/>
  <c r="U14" i="164"/>
  <c r="I16" i="64"/>
  <c r="I16" i="164"/>
  <c r="D30" i="58"/>
  <c r="D9" i="178"/>
  <c r="R15" i="64"/>
  <c r="R15" i="164"/>
  <c r="L25" i="43"/>
  <c r="R83" i="13"/>
  <c r="R84" i="162"/>
  <c r="O57" i="45"/>
  <c r="AR62" i="41"/>
  <c r="AR61" i="41" s="1"/>
  <c r="O13" i="64"/>
  <c r="O13" i="164"/>
  <c r="K27" i="39"/>
  <c r="J13" i="26"/>
  <c r="X37" i="9"/>
  <c r="X35" i="9" s="1"/>
  <c r="AM58" i="3"/>
  <c r="AM55" i="3" s="1"/>
  <c r="F42" i="7"/>
  <c r="BF114" i="88"/>
  <c r="AW36" i="87"/>
  <c r="AW34" i="87" s="1"/>
  <c r="AT34" i="87" s="1"/>
  <c r="Z13" i="43"/>
  <c r="Z49" i="151"/>
  <c r="AA13" i="162"/>
  <c r="AA12" i="162" s="1"/>
  <c r="O57" i="152"/>
  <c r="AA49" i="139"/>
  <c r="F56" i="153"/>
  <c r="F57" i="153"/>
  <c r="F53" i="152"/>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U87" i="89"/>
  <c r="BH12" i="88"/>
  <c r="J13" i="47"/>
  <c r="J11" i="47" s="1"/>
  <c r="AH64" i="88"/>
  <c r="AH181" i="88"/>
  <c r="BR63" i="88"/>
  <c r="AO56" i="88"/>
  <c r="Q35" i="38"/>
  <c r="G19" i="19"/>
  <c r="H19" i="19" s="1"/>
  <c r="Q35" i="6"/>
  <c r="Q72" i="6" s="1"/>
  <c r="Q35" i="7"/>
  <c r="Q35" i="39"/>
  <c r="Q72" i="39" s="1"/>
  <c r="AR68" i="3"/>
  <c r="D21" i="16" s="1"/>
  <c r="AI60" i="36"/>
  <c r="AG60" i="36"/>
  <c r="R18" i="64"/>
  <c r="R18" i="164"/>
  <c r="M36" i="44"/>
  <c r="AC112" i="162"/>
  <c r="P26" i="48"/>
  <c r="AA7" i="62"/>
  <c r="AA8" i="62" s="1"/>
  <c r="D54" i="154"/>
  <c r="BI11" i="41"/>
  <c r="F19" i="112"/>
  <c r="F19" i="178"/>
  <c r="C73" i="23"/>
  <c r="D20" i="150"/>
  <c r="D19" i="150" s="1"/>
  <c r="L19" i="150" s="1"/>
  <c r="O21" i="64"/>
  <c r="O21" i="164"/>
  <c r="F57" i="45"/>
  <c r="E30" i="23"/>
  <c r="I42" i="38"/>
  <c r="BJ51" i="41"/>
  <c r="AB48" i="22"/>
  <c r="AB90" i="22" s="1"/>
  <c r="V14" i="25"/>
  <c r="H10" i="20"/>
  <c r="F9" i="112"/>
  <c r="F9" i="178"/>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BE27" i="150"/>
  <c r="U145" i="89"/>
  <c r="F32" i="46"/>
  <c r="U90" i="60"/>
  <c r="U90" i="162"/>
  <c r="BI23" i="43"/>
  <c r="H19" i="45"/>
  <c r="U31" i="152"/>
  <c r="D31" i="160"/>
  <c r="C31" i="160" s="1"/>
  <c r="C49" i="161"/>
  <c r="O117" i="89"/>
  <c r="O119" i="89" s="1"/>
  <c r="O116" i="89"/>
  <c r="O113" i="89"/>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AM125" i="162"/>
  <c r="C47" i="60"/>
  <c r="I15" i="64"/>
  <c r="I15" i="164"/>
  <c r="L13" i="64"/>
  <c r="L13" i="164"/>
  <c r="E12" i="178"/>
  <c r="R16" i="64"/>
  <c r="R16" i="164"/>
  <c r="R12" i="64"/>
  <c r="R12" i="164"/>
  <c r="C74" i="60"/>
  <c r="C58" i="60"/>
  <c r="CG67" i="48"/>
  <c r="E15" i="178"/>
  <c r="E10" i="178"/>
  <c r="L21" i="64"/>
  <c r="L21" i="164"/>
  <c r="L17" i="64"/>
  <c r="L17" i="164"/>
  <c r="C61" i="158"/>
  <c r="AA106" i="88"/>
  <c r="Y173" i="89"/>
  <c r="BB158" i="88"/>
  <c r="D42" i="150"/>
  <c r="BM42" i="150" s="1"/>
  <c r="C49" i="23"/>
  <c r="D55" i="154"/>
  <c r="BM11" i="41"/>
  <c r="O14" i="64"/>
  <c r="O14" i="164"/>
  <c r="J49" i="23"/>
  <c r="S49" i="23" s="1"/>
  <c r="F11" i="112"/>
  <c r="F11" i="178"/>
  <c r="AU27" i="37"/>
  <c r="I13" i="64"/>
  <c r="I13" i="164"/>
  <c r="L82" i="39"/>
  <c r="AE10" i="5"/>
  <c r="F43" i="34"/>
  <c r="BR19" i="3"/>
  <c r="BO11" i="3"/>
  <c r="AT17" i="5"/>
  <c r="AD14" i="37"/>
  <c r="AT62" i="3"/>
  <c r="W54" i="86"/>
  <c r="W52" i="86" s="1"/>
  <c r="AH8" i="86"/>
  <c r="AH60" i="86" s="1"/>
  <c r="Z100" i="13"/>
  <c r="Z105" i="162"/>
  <c r="P105" i="162" s="1"/>
  <c r="C105" i="162" s="1"/>
  <c r="V82" i="45"/>
  <c r="U82" i="45" s="1"/>
  <c r="BA21" i="41"/>
  <c r="BE21" i="41" s="1"/>
  <c r="AY35" i="5"/>
  <c r="I32" i="16" s="1"/>
  <c r="U31" i="153"/>
  <c r="BE35" i="5"/>
  <c r="BE9" i="5" s="1"/>
  <c r="I30" i="62"/>
  <c r="K30" i="14"/>
  <c r="G11" i="17" s="1"/>
  <c r="I28" i="14"/>
  <c r="B84" i="162"/>
  <c r="AO29" i="87"/>
  <c r="AV29" i="87" s="1"/>
  <c r="P18" i="162"/>
  <c r="C18" i="162" s="1"/>
  <c r="Z12" i="162"/>
  <c r="S73" i="89"/>
  <c r="T20" i="89"/>
  <c r="W20" i="89" s="1"/>
  <c r="S16" i="89"/>
  <c r="DS13" i="51"/>
  <c r="DS12" i="51" s="1"/>
  <c r="DN12" i="51"/>
  <c r="T36" i="47"/>
  <c r="T33" i="47" s="1"/>
  <c r="T9" i="47" s="1"/>
  <c r="Y36" i="47"/>
  <c r="Z36" i="47"/>
  <c r="T20" i="36"/>
  <c r="AM20" i="36"/>
  <c r="AL20" i="36" s="1"/>
  <c r="W25" i="4"/>
  <c r="K24" i="39"/>
  <c r="N25" i="39"/>
  <c r="G47" i="1"/>
  <c r="D16" i="35"/>
  <c r="C16" i="35" s="1"/>
  <c r="D16" i="46"/>
  <c r="C16" i="46" s="1"/>
  <c r="D118" i="162"/>
  <c r="C118" i="162" s="1"/>
  <c r="K10" i="162"/>
  <c r="R51" i="36"/>
  <c r="BK51" i="36"/>
  <c r="AJ51" i="36"/>
  <c r="L73" i="38"/>
  <c r="BR40" i="41"/>
  <c r="BR78" i="41" s="1"/>
  <c r="BQ78" i="41"/>
  <c r="P25" i="9"/>
  <c r="P24" i="9" s="1"/>
  <c r="AJ13" i="92"/>
  <c r="AJ12" i="92" s="1"/>
  <c r="E11" i="178"/>
  <c r="D19" i="178"/>
  <c r="E13" i="178"/>
  <c r="D13" i="178"/>
  <c r="T20" i="64"/>
  <c r="T20" i="164"/>
  <c r="R20" i="64"/>
  <c r="R20" i="164"/>
  <c r="S86" i="162"/>
  <c r="C12" i="159"/>
  <c r="T16" i="64"/>
  <c r="T16" i="164"/>
  <c r="O18" i="64"/>
  <c r="O18" i="164"/>
  <c r="K15" i="25"/>
  <c r="J56" i="45"/>
  <c r="J101" i="45" s="1"/>
  <c r="D32" i="160"/>
  <c r="C50" i="161"/>
  <c r="I42" i="35"/>
  <c r="AP51" i="1"/>
  <c r="BH65" i="3"/>
  <c r="T25" i="43"/>
  <c r="AF25" i="43"/>
  <c r="T39" i="152"/>
  <c r="AA13" i="11"/>
  <c r="X39" i="152"/>
  <c r="R32" i="62"/>
  <c r="R31" i="14"/>
  <c r="T32" i="14"/>
  <c r="T31" i="14" s="1"/>
  <c r="C46" i="160"/>
  <c r="D53" i="160"/>
  <c r="A2" i="179"/>
  <c r="N68" i="88"/>
  <c r="N65" i="88"/>
  <c r="O97" i="88"/>
  <c r="N97" i="88"/>
  <c r="N101" i="88"/>
  <c r="N85" i="88"/>
  <c r="O156" i="88"/>
  <c r="O66" i="88"/>
  <c r="M93" i="88"/>
  <c r="M94" i="88"/>
  <c r="X166" i="88"/>
  <c r="X165" i="88" s="1"/>
  <c r="AA165" i="88" s="1"/>
  <c r="AA172" i="88"/>
  <c r="AA166" i="88" s="1"/>
  <c r="D50" i="154"/>
  <c r="DP11" i="47"/>
  <c r="DO11" i="47"/>
  <c r="DR11" i="47"/>
  <c r="CQ26" i="47"/>
  <c r="CR26" i="47"/>
  <c r="AA19" i="37"/>
  <c r="AU19" i="37" s="1"/>
  <c r="Q43" i="6"/>
  <c r="Q43" i="7"/>
  <c r="L10" i="16"/>
  <c r="P10" i="16" s="1"/>
  <c r="AE10" i="16" s="1"/>
  <c r="BY51" i="3"/>
  <c r="BZ51" i="3" s="1"/>
  <c r="D14" i="9"/>
  <c r="D64" i="9"/>
  <c r="AQ78" i="3"/>
  <c r="Q82" i="162"/>
  <c r="L19" i="64"/>
  <c r="L19" i="164"/>
  <c r="W94" i="60"/>
  <c r="W94" i="162"/>
  <c r="AQ61" i="41"/>
  <c r="AS16" i="37"/>
  <c r="Q71" i="38"/>
  <c r="F18" i="112"/>
  <c r="F18" i="178"/>
  <c r="C21" i="64"/>
  <c r="C21" i="164"/>
  <c r="T19" i="36"/>
  <c r="I21" i="64"/>
  <c r="I21" i="164"/>
  <c r="I19" i="64"/>
  <c r="I19" i="164"/>
  <c r="BF111" i="88"/>
  <c r="C21" i="158"/>
  <c r="C24" i="161"/>
  <c r="D17" i="160"/>
  <c r="C17" i="160" s="1"/>
  <c r="N130" i="150"/>
  <c r="O12" i="164"/>
  <c r="I20" i="64"/>
  <c r="I20" i="164"/>
  <c r="U12" i="162"/>
  <c r="K20" i="178"/>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J34" i="37"/>
  <c r="CF23" i="47"/>
  <c r="CH23" i="47"/>
  <c r="BL69" i="3"/>
  <c r="T22" i="16" s="1"/>
  <c r="S22" i="16"/>
  <c r="E20" i="70"/>
  <c r="E27" i="110"/>
  <c r="E25" i="110" s="1"/>
  <c r="E20" i="110" s="1"/>
  <c r="G30" i="153"/>
  <c r="F30" i="153" s="1"/>
  <c r="H23" i="43"/>
  <c r="BL23" i="43" s="1"/>
  <c r="BK23" i="43" s="1"/>
  <c r="G30" i="152"/>
  <c r="M19" i="45"/>
  <c r="C22" i="54"/>
  <c r="C37" i="159" s="1"/>
  <c r="J5" i="43"/>
  <c r="Z58" i="43"/>
  <c r="J77" i="43"/>
  <c r="G30" i="46"/>
  <c r="F30" i="46" s="1"/>
  <c r="N70" i="43"/>
  <c r="D23" i="150"/>
  <c r="BM23" i="150" s="1"/>
  <c r="H17" i="154"/>
  <c r="N13" i="43"/>
  <c r="G66" i="43"/>
  <c r="G30" i="45"/>
  <c r="Z19" i="43"/>
  <c r="BA23" i="41"/>
  <c r="BE23" i="41" s="1"/>
  <c r="C19" i="150"/>
  <c r="C11" i="150"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T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H15" i="30" l="1"/>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X16" i="89"/>
  <c r="AK128" i="89"/>
  <c r="AJ128" i="89"/>
  <c r="AN128" i="89" s="1"/>
  <c r="BD75" i="88"/>
  <c r="BD159" i="88"/>
  <c r="BD67" i="88"/>
  <c r="BD160" i="88"/>
  <c r="AY128" i="89"/>
  <c r="AZ128" i="89"/>
  <c r="W21" i="100"/>
  <c r="U14" i="100"/>
  <c r="AH58" i="89"/>
  <c r="AH56" i="89"/>
  <c r="AH10" i="89"/>
  <c r="AH61" i="89"/>
  <c r="AH111" i="89"/>
  <c r="AJ16" i="89"/>
  <c r="Q54" i="99"/>
  <c r="O54" i="99" s="1"/>
  <c r="AI74" i="89"/>
  <c r="AH74" i="89"/>
  <c r="AW45" i="43"/>
  <c r="AQ11" i="43"/>
  <c r="O67" i="150"/>
  <c r="N67" i="150" s="1"/>
  <c r="G27" i="153"/>
  <c r="G27" i="152"/>
  <c r="N67" i="43"/>
  <c r="G27" i="46"/>
  <c r="F27" i="46" s="1"/>
  <c r="G27" i="45"/>
  <c r="F27" i="45" s="1"/>
  <c r="G11" i="64"/>
  <c r="G11" i="164"/>
  <c r="L14" i="64"/>
  <c r="L14" i="164"/>
  <c r="T13" i="64"/>
  <c r="T13" i="164"/>
  <c r="L18" i="64"/>
  <c r="L18" i="164"/>
  <c r="P31" i="151"/>
  <c r="M31" i="151" s="1"/>
  <c r="O31" i="151" s="1"/>
  <c r="C42" i="161"/>
  <c r="AA107" i="162"/>
  <c r="R21" i="64"/>
  <c r="R21" i="164"/>
  <c r="C19" i="64"/>
  <c r="C19" i="164"/>
  <c r="J74" i="89"/>
  <c r="L11" i="36"/>
  <c r="C45" i="154"/>
  <c r="C49" i="154" s="1"/>
  <c r="Z100" i="162"/>
  <c r="C31" i="74"/>
  <c r="I28" i="62"/>
  <c r="AM10" i="162"/>
  <c r="C125" i="162"/>
  <c r="D27" i="7"/>
  <c r="C28" i="7"/>
  <c r="C27" i="7" s="1"/>
  <c r="X10" i="48"/>
  <c r="Y10" i="48"/>
  <c r="V29" i="48"/>
  <c r="Z10" i="48"/>
  <c r="E55" i="154"/>
  <c r="C48" i="158"/>
  <c r="Q104" i="89"/>
  <c r="Q57" i="89"/>
  <c r="Q105" i="89"/>
  <c r="Q8" i="89"/>
  <c r="Q154" i="89"/>
  <c r="K20" i="39"/>
  <c r="K18" i="39" s="1"/>
  <c r="R80" i="13"/>
  <c r="R11" i="13" s="1"/>
  <c r="R10" i="13" s="1"/>
  <c r="P83" i="13"/>
  <c r="C83" i="13" s="1"/>
  <c r="C36" i="160"/>
  <c r="C35" i="160" s="1"/>
  <c r="D35" i="160"/>
  <c r="N48" i="22"/>
  <c r="N90" i="22" s="1"/>
  <c r="D14" i="178"/>
  <c r="C12" i="64"/>
  <c r="C12" i="164"/>
  <c r="T19" i="64"/>
  <c r="T19" i="164"/>
  <c r="DW24" i="51"/>
  <c r="DW27" i="51" s="1"/>
  <c r="K21" i="15" s="1"/>
  <c r="R36" i="4"/>
  <c r="F13" i="112"/>
  <c r="F13" i="178"/>
  <c r="O10" i="164"/>
  <c r="O16" i="64"/>
  <c r="O16" i="164"/>
  <c r="AK11" i="43"/>
  <c r="AK10" i="43" s="1"/>
  <c r="AK73" i="43" s="1"/>
  <c r="J67" i="150"/>
  <c r="K19" i="150"/>
  <c r="W93" i="162"/>
  <c r="P94" i="162"/>
  <c r="C94" i="162" s="1"/>
  <c r="N96" i="88"/>
  <c r="N94" i="88"/>
  <c r="N93" i="88"/>
  <c r="N91" i="88"/>
  <c r="BK25" i="5"/>
  <c r="BL25" i="5" s="1"/>
  <c r="Y25" i="4"/>
  <c r="M9" i="48"/>
  <c r="M8" i="48" s="1"/>
  <c r="M32" i="48" s="1"/>
  <c r="M30" i="48" s="1"/>
  <c r="T39" i="47"/>
  <c r="T41" i="47" s="1"/>
  <c r="T10" i="47"/>
  <c r="AJ38" i="37"/>
  <c r="AB38" i="37"/>
  <c r="C28" i="39"/>
  <c r="C27" i="39" s="1"/>
  <c r="D27" i="39"/>
  <c r="O53" i="36"/>
  <c r="N53" i="36" s="1"/>
  <c r="AO181" i="88"/>
  <c r="AO64" i="88"/>
  <c r="AQ56" i="88"/>
  <c r="AO190" i="88"/>
  <c r="C66" i="162"/>
  <c r="C63" i="162" s="1"/>
  <c r="P63" i="162"/>
  <c r="AJ30" i="62"/>
  <c r="C30" i="14"/>
  <c r="C28" i="14" s="1"/>
  <c r="Q42" i="43" s="1"/>
  <c r="AJ28" i="14"/>
  <c r="V91" i="162"/>
  <c r="P92" i="162"/>
  <c r="C92" i="162" s="1"/>
  <c r="F20" i="45"/>
  <c r="L12" i="64"/>
  <c r="L22" i="64" s="1"/>
  <c r="L12" i="164"/>
  <c r="T34" i="39"/>
  <c r="AC24" i="51"/>
  <c r="AC27" i="51" s="1"/>
  <c r="AC28" i="51" s="1"/>
  <c r="J158" i="88"/>
  <c r="J61" i="43"/>
  <c r="J91" i="88"/>
  <c r="M22" i="98"/>
  <c r="F16" i="34"/>
  <c r="U9" i="86"/>
  <c r="D25" i="154"/>
  <c r="BP38" i="150"/>
  <c r="BO38" i="150" s="1"/>
  <c r="BE53" i="150"/>
  <c r="T15" i="151"/>
  <c r="N131" i="88"/>
  <c r="N112" i="88"/>
  <c r="N115" i="88"/>
  <c r="N109" i="88"/>
  <c r="N127" i="88"/>
  <c r="N155" i="88"/>
  <c r="N140" i="88"/>
  <c r="N103" i="88"/>
  <c r="N106" i="88"/>
  <c r="N152" i="88"/>
  <c r="N118" i="88"/>
  <c r="N149" i="88"/>
  <c r="N137" i="88"/>
  <c r="N146" i="88"/>
  <c r="N130" i="88"/>
  <c r="N143" i="88"/>
  <c r="N124" i="88"/>
  <c r="N121" i="88"/>
  <c r="O102" i="88"/>
  <c r="D27" i="34"/>
  <c r="C28" i="34"/>
  <c r="C27" i="34" s="1"/>
  <c r="BK26" i="5"/>
  <c r="BL26" i="5" s="1"/>
  <c r="Y26" i="4"/>
  <c r="K73" i="88"/>
  <c r="K81" i="88"/>
  <c r="L69" i="88"/>
  <c r="K77" i="88"/>
  <c r="N10" i="164"/>
  <c r="I22" i="164"/>
  <c r="C16" i="162"/>
  <c r="S29" i="38"/>
  <c r="D50" i="160"/>
  <c r="C64" i="161"/>
  <c r="P30" i="151"/>
  <c r="M30" i="151" s="1"/>
  <c r="O30" i="151" s="1"/>
  <c r="C41" i="161"/>
  <c r="L11" i="64"/>
  <c r="L11" i="164"/>
  <c r="O8" i="140"/>
  <c r="K65" i="96"/>
  <c r="E20" i="138"/>
  <c r="R21" i="138" s="1"/>
  <c r="E16" i="178"/>
  <c r="L10" i="64"/>
  <c r="L10" i="164"/>
  <c r="L22" i="164" s="1"/>
  <c r="T21" i="64"/>
  <c r="T21" i="164"/>
  <c r="M11" i="25"/>
  <c r="FW11" i="51"/>
  <c r="FW10" i="51" s="1"/>
  <c r="AG9" i="89"/>
  <c r="AA11" i="20"/>
  <c r="AZ95" i="41"/>
  <c r="T8" i="86"/>
  <c r="AA8" i="86" s="1"/>
  <c r="U72" i="7"/>
  <c r="P13" i="162"/>
  <c r="C28" i="35"/>
  <c r="C27" i="35" s="1"/>
  <c r="D27" i="35"/>
  <c r="K91" i="88"/>
  <c r="K96" i="88"/>
  <c r="R96" i="88" s="1"/>
  <c r="K94" i="88"/>
  <c r="R94" i="88" s="1"/>
  <c r="K93" i="88"/>
  <c r="R93" i="88" s="1"/>
  <c r="Q85" i="88"/>
  <c r="P84" i="162"/>
  <c r="C84" i="162" s="1"/>
  <c r="R83" i="162"/>
  <c r="X95" i="60"/>
  <c r="X80" i="60" s="1"/>
  <c r="X11" i="60" s="1"/>
  <c r="X10" i="60" s="1"/>
  <c r="P96" i="60"/>
  <c r="E20" i="178"/>
  <c r="BB61" i="3"/>
  <c r="J25" i="31"/>
  <c r="BB63" i="41"/>
  <c r="BY63" i="41" s="1"/>
  <c r="BZ63" i="41" s="1"/>
  <c r="O61" i="1"/>
  <c r="AJ7" i="14"/>
  <c r="AD31" i="37"/>
  <c r="AB108" i="162"/>
  <c r="P110" i="162"/>
  <c r="C110" i="162" s="1"/>
  <c r="D10" i="178"/>
  <c r="D20" i="178" s="1"/>
  <c r="FA9" i="47"/>
  <c r="K75" i="97"/>
  <c r="K76" i="97" s="1"/>
  <c r="C18" i="64"/>
  <c r="C18" i="164"/>
  <c r="AQ26" i="37"/>
  <c r="F16" i="39"/>
  <c r="Z11" i="11"/>
  <c r="AA9" i="86"/>
  <c r="H116" i="162"/>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O18" i="4"/>
  <c r="O19" i="33" s="1"/>
  <c r="M19" i="33"/>
  <c r="M17" i="4"/>
  <c r="P59" i="162"/>
  <c r="C60" i="162"/>
  <c r="C59" i="162" s="1"/>
  <c r="E62" i="154"/>
  <c r="E60" i="154" s="1"/>
  <c r="C55" i="158"/>
  <c r="C53" i="158" s="1"/>
  <c r="L19" i="43"/>
  <c r="C33" i="77"/>
  <c r="C32" i="77" s="1"/>
  <c r="T32" i="62"/>
  <c r="T31" i="62" s="1"/>
  <c r="R31" i="62"/>
  <c r="S58" i="89"/>
  <c r="AB58" i="89" s="1"/>
  <c r="S54" i="89"/>
  <c r="S61" i="89"/>
  <c r="S56" i="89"/>
  <c r="AB56" i="89" s="1"/>
  <c r="S111" i="89"/>
  <c r="AB16" i="89"/>
  <c r="AE20" i="89" s="1"/>
  <c r="S10" i="89"/>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L83" i="46"/>
  <c r="T54" i="89"/>
  <c r="K8" i="87"/>
  <c r="K90" i="87" s="1"/>
  <c r="C61" i="150"/>
  <c r="C57" i="150" s="1"/>
  <c r="F17" i="112"/>
  <c r="F17" i="178"/>
  <c r="BE54" i="150"/>
  <c r="BE46" i="150"/>
  <c r="C47" i="153"/>
  <c r="Q81" i="162"/>
  <c r="P82" i="162"/>
  <c r="C82" i="162" s="1"/>
  <c r="T79" i="6"/>
  <c r="Q79" i="6"/>
  <c r="N73" i="88"/>
  <c r="N77" i="88"/>
  <c r="N81" i="88"/>
  <c r="O69" i="88"/>
  <c r="Q69" i="88" s="1"/>
  <c r="H16" i="38"/>
  <c r="H74" i="38" s="1"/>
  <c r="H16" i="7"/>
  <c r="H74" i="7" s="1"/>
  <c r="H16" i="6"/>
  <c r="F16" i="6" s="1"/>
  <c r="H16" i="39"/>
  <c r="H16" i="35"/>
  <c r="H16" i="34"/>
  <c r="K19" i="45"/>
  <c r="L102" i="88"/>
  <c r="K127" i="88"/>
  <c r="K109" i="88"/>
  <c r="K140" i="88"/>
  <c r="K137" i="88"/>
  <c r="K143" i="88"/>
  <c r="K124" i="88"/>
  <c r="K118" i="88"/>
  <c r="K121" i="88"/>
  <c r="K152" i="88"/>
  <c r="K115" i="88"/>
  <c r="K103" i="88"/>
  <c r="K130" i="88"/>
  <c r="K149" i="88"/>
  <c r="K112" i="88"/>
  <c r="K155" i="88"/>
  <c r="K146" i="88"/>
  <c r="K131" i="88"/>
  <c r="K102" i="88"/>
  <c r="X95" i="162"/>
  <c r="X80" i="162" s="1"/>
  <c r="X11" i="162" s="1"/>
  <c r="X10" i="162" s="1"/>
  <c r="P96" i="162"/>
  <c r="EN30" i="47"/>
  <c r="EK2" i="47"/>
  <c r="EK9" i="47"/>
  <c r="EK10" i="47" s="1"/>
  <c r="I30" i="47"/>
  <c r="O10" i="13"/>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D45" i="160"/>
  <c r="C45" i="160" s="1"/>
  <c r="R13" i="64"/>
  <c r="R13" i="164"/>
  <c r="C17" i="64"/>
  <c r="C17" i="164"/>
  <c r="E59" i="154"/>
  <c r="E57" i="154" s="1"/>
  <c r="C52" i="158"/>
  <c r="T12" i="64"/>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K30" i="62"/>
  <c r="Q112" i="89"/>
  <c r="Q113" i="89"/>
  <c r="C50" i="158"/>
  <c r="C49" i="158" s="1"/>
  <c r="K106" i="88"/>
  <c r="P99" i="162"/>
  <c r="Y97" i="162"/>
  <c r="Y80" i="162" s="1"/>
  <c r="J44" i="7"/>
  <c r="I42" i="7"/>
  <c r="G23" i="46"/>
  <c r="F23" i="46" s="1"/>
  <c r="F22" i="46" s="1"/>
  <c r="G24" i="153"/>
  <c r="F24" i="153" s="1"/>
  <c r="H33" i="152"/>
  <c r="W82" i="153"/>
  <c r="U82" i="153" s="1"/>
  <c r="J83" i="152"/>
  <c r="I83" i="152" s="1"/>
  <c r="N63" i="43"/>
  <c r="N62" i="43" s="1"/>
  <c r="G24" i="152"/>
  <c r="F24" i="152" s="1"/>
  <c r="S39" i="152"/>
  <c r="R39" i="152" s="1"/>
  <c r="T51" i="43"/>
  <c r="I73" i="43"/>
  <c r="G24" i="45"/>
  <c r="F24" i="45" s="1"/>
  <c r="G24" i="46"/>
  <c r="F24" i="46" s="1"/>
  <c r="D57" i="4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J63" i="89" s="1"/>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60"/>
  <c r="C32" i="160" s="1"/>
  <c r="BH12" i="3"/>
  <c r="F15" i="178"/>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C29" i="74"/>
  <c r="P32" i="151"/>
  <c r="C43" i="161"/>
  <c r="L65" i="96"/>
  <c r="AC27" i="38"/>
  <c r="S9" i="139"/>
  <c r="T14" i="164"/>
  <c r="M40" i="44"/>
  <c r="Q43" i="150"/>
  <c r="C22" i="159"/>
  <c r="V14" i="64"/>
  <c r="V14" i="164"/>
  <c r="G22" i="152"/>
  <c r="C15" i="159"/>
  <c r="G54" i="7"/>
  <c r="F54" i="7" s="1"/>
  <c r="G54" i="38"/>
  <c r="F54" i="38" s="1"/>
  <c r="G54" i="6"/>
  <c r="F54" i="6" s="1"/>
  <c r="G56" i="35"/>
  <c r="F56" i="35" s="1"/>
  <c r="G56" i="34"/>
  <c r="F56" i="34" s="1"/>
  <c r="G54" i="39"/>
  <c r="F54" i="39" s="1"/>
  <c r="H38" i="4"/>
  <c r="K30" i="33"/>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24" i="44"/>
  <c r="R193" i="13"/>
  <c r="C96" i="162"/>
  <c r="P95" i="162"/>
  <c r="C95" i="162" s="1"/>
  <c r="AR60" i="36"/>
  <c r="AU60" i="36"/>
  <c r="AY60" i="36" s="1"/>
  <c r="S112" i="89"/>
  <c r="Y112" i="89"/>
  <c r="AB111" i="89"/>
  <c r="AD111" i="89" s="1"/>
  <c r="S113" i="89"/>
  <c r="G14" i="7"/>
  <c r="G14" i="34"/>
  <c r="F14" i="34" s="1"/>
  <c r="K13" i="4"/>
  <c r="K13" i="37"/>
  <c r="G14" i="35"/>
  <c r="F14" i="35" s="1"/>
  <c r="G14" i="38"/>
  <c r="G14" i="39"/>
  <c r="F14" i="39" s="1"/>
  <c r="O16" i="31"/>
  <c r="G14" i="6"/>
  <c r="F14" i="6" s="1"/>
  <c r="N42" i="1"/>
  <c r="P111" i="162"/>
  <c r="AC80" i="162"/>
  <c r="AC11" i="162" s="1"/>
  <c r="AC10" i="162" s="1"/>
  <c r="BF61" i="3"/>
  <c r="BY61" i="3"/>
  <c r="BZ61" i="3" s="1"/>
  <c r="C13" i="162"/>
  <c r="P12" i="162"/>
  <c r="AG38" i="37"/>
  <c r="AO38" i="37"/>
  <c r="AL38" i="37" s="1"/>
  <c r="J22" i="46"/>
  <c r="C70" i="1"/>
  <c r="C34" i="31" s="1"/>
  <c r="U104" i="89"/>
  <c r="E17" i="45"/>
  <c r="AD9" i="139"/>
  <c r="E39" i="160"/>
  <c r="E38" i="160" s="1"/>
  <c r="P52" i="7"/>
  <c r="T10" i="64"/>
  <c r="T10" i="164"/>
  <c r="T22" i="164" s="1"/>
  <c r="F8" i="178"/>
  <c r="F46" i="35"/>
  <c r="D18" i="153"/>
  <c r="D21" i="46"/>
  <c r="D18" i="46" s="1"/>
  <c r="C24" i="158"/>
  <c r="T25" i="39"/>
  <c r="Q24" i="39"/>
  <c r="T24" i="39" s="1"/>
  <c r="G61" i="45"/>
  <c r="F61" i="45" s="1"/>
  <c r="H43" i="44"/>
  <c r="G61" i="46"/>
  <c r="F61" i="46" s="1"/>
  <c r="G61" i="152"/>
  <c r="F61" i="152" s="1"/>
  <c r="G61" i="153"/>
  <c r="F61" i="153" s="1"/>
  <c r="K44" i="151"/>
  <c r="H44" i="151" s="1"/>
  <c r="P83" i="162"/>
  <c r="C83" i="162" s="1"/>
  <c r="R80" i="162"/>
  <c r="R11" i="162" s="1"/>
  <c r="R10" i="162" s="1"/>
  <c r="P93" i="162"/>
  <c r="C93" i="162" s="1"/>
  <c r="W80" i="162"/>
  <c r="W11" i="162" s="1"/>
  <c r="W10" i="162" s="1"/>
  <c r="P100" i="162"/>
  <c r="C100" i="162" s="1"/>
  <c r="Z80" i="162"/>
  <c r="Z11" i="162" s="1"/>
  <c r="Z10" i="162" s="1"/>
  <c r="T154" i="89"/>
  <c r="T69" i="89"/>
  <c r="J112" i="89"/>
  <c r="AI123" i="162"/>
  <c r="V15" i="64"/>
  <c r="V15" i="164"/>
  <c r="CD10" i="47"/>
  <c r="G13" i="43"/>
  <c r="K28" i="62"/>
  <c r="K53" i="62"/>
  <c r="Z25" i="39"/>
  <c r="W24" i="39"/>
  <c r="W20" i="39" s="1"/>
  <c r="W18" i="39" s="1"/>
  <c r="BF63" i="41"/>
  <c r="N19" i="45"/>
  <c r="I19" i="45"/>
  <c r="C8" i="83"/>
  <c r="C9" i="83" s="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N95" i="88"/>
  <c r="N99" i="88"/>
  <c r="O99" i="88"/>
  <c r="C60" i="158"/>
  <c r="L27" i="7"/>
  <c r="P26" i="151"/>
  <c r="M26" i="151" s="1"/>
  <c r="O26" i="151" s="1"/>
  <c r="C35" i="161"/>
  <c r="G11" i="36"/>
  <c r="AV10" i="47"/>
  <c r="F12" i="178"/>
  <c r="AR55" i="3"/>
  <c r="G12" i="64"/>
  <c r="G12" i="164"/>
  <c r="BB9" i="48"/>
  <c r="G22" i="46"/>
  <c r="C73" i="150"/>
  <c r="G19" i="43"/>
  <c r="K30" i="47"/>
  <c r="L30" i="47"/>
  <c r="O17" i="4"/>
  <c r="O17" i="33" s="1"/>
  <c r="N5" i="4"/>
  <c r="M17" i="33"/>
  <c r="C96" i="60"/>
  <c r="P95" i="60"/>
  <c r="C95" i="60" s="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G23" i="38"/>
  <c r="F23" i="38" s="1"/>
  <c r="N61" i="1"/>
  <c r="N25" i="31" s="1"/>
  <c r="O25" i="31"/>
  <c r="G23" i="6"/>
  <c r="F23" i="6" s="1"/>
  <c r="G23" i="34"/>
  <c r="F23" i="34" s="1"/>
  <c r="G23" i="7"/>
  <c r="F23" i="7" s="1"/>
  <c r="G23" i="39"/>
  <c r="F23" i="39" s="1"/>
  <c r="G23" i="35"/>
  <c r="F23" i="3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5" i="154"/>
  <c r="N77" i="43"/>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123" i="89" l="1"/>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L33" i="7"/>
  <c r="C14" i="64"/>
  <c r="C14" i="164"/>
  <c r="C11" i="64"/>
  <c r="C11" i="164"/>
  <c r="AR190" i="88"/>
  <c r="AV190" i="88" s="1"/>
  <c r="AR65" i="88"/>
  <c r="AR181" i="88"/>
  <c r="AR64" i="88"/>
  <c r="AW64" i="88" s="1"/>
  <c r="AZ56" i="88"/>
  <c r="C20" i="64"/>
  <c r="C20" i="164"/>
  <c r="AD85" i="89"/>
  <c r="G36" i="6"/>
  <c r="F36" i="6" s="1"/>
  <c r="K11" i="4"/>
  <c r="H13" i="4"/>
  <c r="K13" i="33"/>
  <c r="G36" i="34"/>
  <c r="F36" i="34" s="1"/>
  <c r="G36" i="7"/>
  <c r="F36" i="7" s="1"/>
  <c r="G36" i="39"/>
  <c r="F36" i="39" s="1"/>
  <c r="G36" i="35"/>
  <c r="F36" i="35" s="1"/>
  <c r="G36" i="38"/>
  <c r="F36" i="38" s="1"/>
  <c r="C33" i="154"/>
  <c r="E54" i="154"/>
  <c r="C46" i="158"/>
  <c r="C26" i="73"/>
  <c r="AD11" i="22"/>
  <c r="AD10" i="22" s="1"/>
  <c r="J21" i="153"/>
  <c r="J18" i="153" s="1"/>
  <c r="BH42" i="1"/>
  <c r="N16" i="31"/>
  <c r="AK112" i="89"/>
  <c r="AJ112" i="89"/>
  <c r="AB112" i="89"/>
  <c r="AA186" i="89"/>
  <c r="AB9" i="139"/>
  <c r="AJ38" i="162"/>
  <c r="J9" i="89"/>
  <c r="G10" i="164"/>
  <c r="C15" i="64"/>
  <c r="C15" i="164"/>
  <c r="F28" i="152"/>
  <c r="F9" i="151"/>
  <c r="AV181" i="88"/>
  <c r="AB19" i="94"/>
  <c r="X19" i="94"/>
  <c r="Y19" i="94"/>
  <c r="T100" i="89"/>
  <c r="AN100" i="89" s="1"/>
  <c r="AD94" i="89"/>
  <c r="F14" i="7"/>
  <c r="G72" i="7"/>
  <c r="F72" i="7" s="1"/>
  <c r="C34" i="161"/>
  <c r="D28" i="160"/>
  <c r="C28" i="160" s="1"/>
  <c r="J50" i="153"/>
  <c r="C34" i="149"/>
  <c r="P25" i="151"/>
  <c r="M25" i="151" s="1"/>
  <c r="J50" i="152"/>
  <c r="J50" i="46"/>
  <c r="D28" i="58"/>
  <c r="J50" i="45"/>
  <c r="C34" i="65"/>
  <c r="M24" i="44"/>
  <c r="J38" i="4"/>
  <c r="J30" i="33" s="1"/>
  <c r="BB38" i="5"/>
  <c r="BF38" i="5" s="1"/>
  <c r="H30" i="33"/>
  <c r="V10" i="164"/>
  <c r="P12" i="164"/>
  <c r="N12" i="164" s="1"/>
  <c r="R36" i="38"/>
  <c r="C34" i="39"/>
  <c r="C16" i="64"/>
  <c r="C16" i="164"/>
  <c r="P33" i="151"/>
  <c r="C44" i="161"/>
  <c r="E8" i="45"/>
  <c r="AN38" i="151"/>
  <c r="U59" i="153"/>
  <c r="Q118" i="89"/>
  <c r="Q119" i="89"/>
  <c r="BB42" i="150"/>
  <c r="BC42" i="150"/>
  <c r="T97" i="89"/>
  <c r="AN97" i="89" s="1"/>
  <c r="T79" i="89"/>
  <c r="AN79" i="89" s="1"/>
  <c r="Q99" i="88"/>
  <c r="T88" i="89"/>
  <c r="T85" i="89"/>
  <c r="AN85" i="89" s="1"/>
  <c r="S117" i="89"/>
  <c r="T117" i="89" s="1"/>
  <c r="T119" i="89" s="1"/>
  <c r="S106" i="89"/>
  <c r="U106" i="89" s="1"/>
  <c r="S116" i="89"/>
  <c r="AB116" i="89" s="1"/>
  <c r="S110" i="89"/>
  <c r="AB110" i="89" s="1"/>
  <c r="Y106" i="89"/>
  <c r="AB105" i="89"/>
  <c r="G70" i="36"/>
  <c r="G72" i="36" s="1"/>
  <c r="G13" i="64"/>
  <c r="G13" i="164"/>
  <c r="C23" i="158"/>
  <c r="C20" i="158" s="1"/>
  <c r="AK62" i="89"/>
  <c r="AB62" i="89"/>
  <c r="AJ62" i="89"/>
  <c r="AH123" i="162"/>
  <c r="C123" i="162" s="1"/>
  <c r="AI10" i="162"/>
  <c r="D59" i="154"/>
  <c r="D57" i="154" s="1"/>
  <c r="J43" i="44"/>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64"/>
  <c r="S52" i="7"/>
  <c r="E12" i="164"/>
  <c r="F20" i="178"/>
  <c r="G72" i="38"/>
  <c r="F72" i="38" s="1"/>
  <c r="F14" i="38"/>
  <c r="T91" i="89"/>
  <c r="AN91" i="89" s="1"/>
  <c r="T103" i="89"/>
  <c r="AN103" i="89" s="1"/>
  <c r="S107" i="89"/>
  <c r="AB107" i="89" s="1"/>
  <c r="S149" i="89"/>
  <c r="AB8" i="89"/>
  <c r="S183" i="89"/>
  <c r="Y9" i="89"/>
  <c r="S138" i="89"/>
  <c r="AB138" i="89" s="1"/>
  <c r="S152" i="89"/>
  <c r="Y183" i="89"/>
  <c r="S9" i="89"/>
  <c r="U9" i="89" s="1"/>
  <c r="S146" i="89"/>
  <c r="T146" i="89" s="1"/>
  <c r="T72" i="89"/>
  <c r="AN72" i="89" s="1"/>
  <c r="P13" i="164"/>
  <c r="N13" i="164" s="1"/>
  <c r="BM11" i="43"/>
  <c r="T149" i="89"/>
  <c r="BI10" i="5"/>
  <c r="C10" i="164"/>
  <c r="U87" i="43"/>
  <c r="C15" i="161"/>
  <c r="C12" i="161" s="1"/>
  <c r="V17" i="64"/>
  <c r="V17" i="164"/>
  <c r="Z24" i="39"/>
  <c r="Z20" i="39" s="1"/>
  <c r="Z18" i="39" s="1"/>
  <c r="AC25" i="39"/>
  <c r="AC24" i="39" s="1"/>
  <c r="L10" i="4"/>
  <c r="L11" i="33"/>
  <c r="C11" i="159"/>
  <c r="C10" i="159" s="1"/>
  <c r="T82" i="89"/>
  <c r="AN82" i="89" s="1"/>
  <c r="C31" i="72"/>
  <c r="AK104" i="89"/>
  <c r="AD104" i="89"/>
  <c r="T94" i="89"/>
  <c r="AN94" i="89" s="1"/>
  <c r="P29" i="151"/>
  <c r="M29" i="151" s="1"/>
  <c r="O29" i="151" s="1"/>
  <c r="C40" i="161"/>
  <c r="E11" i="164"/>
  <c r="F11" i="164" s="1"/>
  <c r="T152" i="89"/>
  <c r="E8" i="154"/>
  <c r="C10" i="158"/>
  <c r="C9" i="158" s="1"/>
  <c r="C88" i="80"/>
  <c r="C83" i="80" s="1"/>
  <c r="K17" i="63"/>
  <c r="P106" i="162"/>
  <c r="C106" i="162" s="1"/>
  <c r="AA80" i="162"/>
  <c r="AA11" i="162" s="1"/>
  <c r="AA10" i="162" s="1"/>
  <c r="AV56" i="88"/>
  <c r="AY56" i="88" s="1"/>
  <c r="BD42" i="41"/>
  <c r="BE42" i="41"/>
  <c r="AC79" i="89"/>
  <c r="AD79" i="89"/>
  <c r="L19" i="45"/>
  <c r="T19" i="45"/>
  <c r="Q19" i="45"/>
  <c r="O19" i="45" s="1"/>
  <c r="K11" i="37"/>
  <c r="K10" i="37" s="1"/>
  <c r="H13" i="37"/>
  <c r="AA62" i="43"/>
  <c r="AC64" i="43"/>
  <c r="J96" i="150"/>
  <c r="BO19" i="150"/>
  <c r="J92" i="150"/>
  <c r="T57" i="43"/>
  <c r="D97" i="150"/>
  <c r="N57" i="43"/>
  <c r="M24" i="152"/>
  <c r="L24" i="152" s="1"/>
  <c r="D73" i="150"/>
  <c r="H18" i="45"/>
  <c r="G69" i="45" s="1"/>
  <c r="F69" i="45" s="1"/>
  <c r="D99" i="150"/>
  <c r="M24" i="153"/>
  <c r="L24" i="153" s="1"/>
  <c r="L10" i="150"/>
  <c r="C13" i="154"/>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AB106" i="89"/>
  <c r="AJ106" i="89"/>
  <c r="AK106" i="89"/>
  <c r="AG49" i="152"/>
  <c r="I50" i="152"/>
  <c r="H13" i="33"/>
  <c r="J13" i="4"/>
  <c r="J13" i="33" s="1"/>
  <c r="P103" i="36"/>
  <c r="AL40" i="48"/>
  <c r="V18" i="64"/>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C33" i="161"/>
  <c r="D27" i="160"/>
  <c r="D53" i="34"/>
  <c r="C53" i="34" s="1"/>
  <c r="V19" i="64"/>
  <c r="V19" i="164"/>
  <c r="AS13" i="37"/>
  <c r="J13" i="37"/>
  <c r="H11" i="37"/>
  <c r="AC116" i="89"/>
  <c r="AD116" i="89"/>
  <c r="AD112" i="89"/>
  <c r="AC112" i="89"/>
  <c r="E10" i="164"/>
  <c r="AC107" i="89"/>
  <c r="AD107" i="89"/>
  <c r="F12" i="164"/>
  <c r="AM62" i="89"/>
  <c r="AL62" i="89"/>
  <c r="AN62" i="89"/>
  <c r="E48" i="154"/>
  <c r="C43" i="158"/>
  <c r="BC19" i="5"/>
  <c r="BD19" i="5" s="1"/>
  <c r="BF19" i="5" s="1"/>
  <c r="C43" i="54"/>
  <c r="C43" i="66" s="1"/>
  <c r="M74" i="44"/>
  <c r="M75" i="44" s="1"/>
  <c r="O24" i="44"/>
  <c r="I50" i="153"/>
  <c r="J88" i="153"/>
  <c r="I88" i="153" s="1"/>
  <c r="AN112" i="89"/>
  <c r="AM112" i="89"/>
  <c r="AL112" i="89"/>
  <c r="G14" i="64"/>
  <c r="G14" i="164"/>
  <c r="H11" i="4"/>
  <c r="V12" i="64"/>
  <c r="V12" i="164"/>
  <c r="X59" i="153"/>
  <c r="X65" i="153"/>
  <c r="AC20" i="39"/>
  <c r="AC18" i="39" s="1"/>
  <c r="L9" i="4"/>
  <c r="L9" i="33" s="1"/>
  <c r="L10" i="33"/>
  <c r="AD62" i="89"/>
  <c r="AC62" i="89"/>
  <c r="S119" i="89"/>
  <c r="AB119" i="89" s="1"/>
  <c r="S118" i="89"/>
  <c r="U118" i="89" s="1"/>
  <c r="AB117" i="89"/>
  <c r="Y118" i="89"/>
  <c r="AC85" i="89"/>
  <c r="E13" i="164"/>
  <c r="F13" i="164" s="1"/>
  <c r="D40" i="44"/>
  <c r="O40" i="44" s="1"/>
  <c r="I50" i="45"/>
  <c r="AD49" i="45"/>
  <c r="AC94" i="89"/>
  <c r="V107" i="89"/>
  <c r="T138" i="89"/>
  <c r="AN138" i="89" s="1"/>
  <c r="V13" i="64"/>
  <c r="V13" i="164"/>
  <c r="N11" i="43"/>
  <c r="W138" i="89"/>
  <c r="V52" i="7"/>
  <c r="E31" i="72"/>
  <c r="C29" i="72"/>
  <c r="C22" i="164"/>
  <c r="AD138" i="89"/>
  <c r="AC138" i="89"/>
  <c r="C28" i="58"/>
  <c r="D28" i="68"/>
  <c r="C28" i="68" s="1"/>
  <c r="P80" i="162"/>
  <c r="P34" i="151"/>
  <c r="M34" i="151" s="1"/>
  <c r="C45" i="161"/>
  <c r="C32" i="161" s="1"/>
  <c r="AF68" i="43"/>
  <c r="P62" i="139"/>
  <c r="C57" i="161"/>
  <c r="C56" i="161" s="1"/>
  <c r="D39" i="160"/>
  <c r="BE11" i="41"/>
  <c r="L22" i="152"/>
  <c r="C63" i="151"/>
  <c r="AD105" i="89"/>
  <c r="AC105" i="89"/>
  <c r="J88" i="46"/>
  <c r="I88" i="46" s="1"/>
  <c r="I50" i="46"/>
  <c r="AZ64" i="88"/>
  <c r="AZ65" i="88"/>
  <c r="BA56" i="88"/>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64"/>
  <c r="E43" i="160"/>
  <c r="D32" i="39"/>
  <c r="C32" i="39" s="1"/>
  <c r="BA64" i="88"/>
  <c r="BB56" i="88"/>
  <c r="BA65" i="88"/>
  <c r="F10" i="164"/>
  <c r="H10" i="37"/>
  <c r="J10" i="37" s="1"/>
  <c r="AS11" i="37"/>
  <c r="J11" i="37"/>
  <c r="C44" i="48"/>
  <c r="U12" i="64"/>
  <c r="U12" i="164"/>
  <c r="P15" i="64"/>
  <c r="P15" i="164"/>
  <c r="AJ109" i="162"/>
  <c r="AL64" i="43"/>
  <c r="C39" i="160"/>
  <c r="C38" i="160" s="1"/>
  <c r="D38" i="160"/>
  <c r="P11" i="162"/>
  <c r="P10" i="162" s="1"/>
  <c r="V21" i="64"/>
  <c r="V21" i="164"/>
  <c r="BS41" i="5"/>
  <c r="J44" i="44"/>
  <c r="E14" i="164"/>
  <c r="V11" i="164"/>
  <c r="G15" i="164"/>
  <c r="D25" i="160"/>
  <c r="V20" i="64"/>
  <c r="V20" i="164"/>
  <c r="AH72" i="36"/>
  <c r="AS10" i="37"/>
  <c r="Z19" i="45"/>
  <c r="X19" i="45" s="1"/>
  <c r="U19" i="45"/>
  <c r="J12" i="64"/>
  <c r="J12" i="164"/>
  <c r="V16" i="64"/>
  <c r="V16" i="164"/>
  <c r="AJ118" i="89"/>
  <c r="AK118" i="89"/>
  <c r="AB118" i="89"/>
  <c r="AN106" i="89"/>
  <c r="AM106" i="89"/>
  <c r="AL106" i="89"/>
  <c r="G58" i="152"/>
  <c r="F58" i="152" s="1"/>
  <c r="AC117" i="89"/>
  <c r="AD117" i="89"/>
  <c r="C38" i="162"/>
  <c r="C12" i="162" s="1"/>
  <c r="AH12" i="162"/>
  <c r="AD106" i="89"/>
  <c r="AC106" i="89"/>
  <c r="D13" i="154"/>
  <c r="N76" i="43"/>
  <c r="D33" i="15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9" i="158"/>
  <c r="C61" i="161"/>
  <c r="C59" i="161" s="1"/>
  <c r="C52" i="161" s="1"/>
  <c r="D43" i="160"/>
  <c r="V22" i="64"/>
  <c r="G33" i="152"/>
  <c r="F33" i="152" s="1"/>
  <c r="AD118" i="89"/>
  <c r="AC118" i="89"/>
  <c r="BC56" i="88"/>
  <c r="BB64" i="88"/>
  <c r="BB65" i="88"/>
  <c r="U11" i="64"/>
  <c r="U11" i="164"/>
  <c r="I10" i="178"/>
  <c r="C10" i="178" s="1"/>
  <c r="R28" i="152"/>
  <c r="AH109" i="162"/>
  <c r="AJ108" i="162"/>
  <c r="AJ80" i="162" s="1"/>
  <c r="AJ11" i="162" s="1"/>
  <c r="AJ10" i="162" s="1"/>
  <c r="J43" i="160"/>
  <c r="E41" i="160"/>
  <c r="E34" i="160" s="1"/>
  <c r="G16" i="64"/>
  <c r="G16" i="164"/>
  <c r="E15" i="164"/>
  <c r="I11" i="178"/>
  <c r="C11" i="178" s="1"/>
  <c r="AN118" i="89"/>
  <c r="AM118" i="89"/>
  <c r="AL118" i="89"/>
  <c r="V22" i="164"/>
  <c r="D29" i="160"/>
  <c r="P3" i="162"/>
  <c r="BC72" i="41"/>
  <c r="J13" i="164"/>
  <c r="J11" i="164"/>
  <c r="F14" i="164"/>
  <c r="N14" i="16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64"/>
  <c r="G17" i="164"/>
  <c r="F15" i="164"/>
  <c r="P16" i="164"/>
  <c r="J14" i="164"/>
  <c r="C43" i="160"/>
  <c r="C41" i="160" s="1"/>
  <c r="C34" i="160" s="1"/>
  <c r="D41" i="160"/>
  <c r="D34" i="160" s="1"/>
  <c r="AH108" i="162"/>
  <c r="C109" i="162"/>
  <c r="U15" i="64"/>
  <c r="U15" i="164"/>
  <c r="I9" i="178"/>
  <c r="C9" i="178" s="1"/>
  <c r="BC64" i="88"/>
  <c r="BC65" i="88"/>
  <c r="BD56" i="88"/>
  <c r="AC57" i="150"/>
  <c r="BC57" i="150" s="1"/>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64"/>
  <c r="H13" i="164" s="1"/>
  <c r="D13" i="164" s="1"/>
  <c r="K12" i="164"/>
  <c r="H12" i="164" s="1"/>
  <c r="D12" i="164" s="1"/>
  <c r="I13" i="178"/>
  <c r="C13" i="178" s="1"/>
  <c r="I12" i="178"/>
  <c r="C12" i="178" s="1"/>
  <c r="Z91" i="1"/>
  <c r="F16" i="164"/>
  <c r="E17" i="164"/>
  <c r="F49" i="54"/>
  <c r="F49" i="158"/>
  <c r="G18" i="64"/>
  <c r="G18" i="164"/>
  <c r="P17" i="164"/>
  <c r="N17" i="164" s="1"/>
  <c r="I8" i="178"/>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64" l="1"/>
  <c r="J16" i="164"/>
  <c r="E18" i="164"/>
  <c r="C80" i="162"/>
  <c r="C11" i="162" s="1"/>
  <c r="AH11" i="162"/>
  <c r="AH10" i="162" s="1"/>
  <c r="S12" i="164"/>
  <c r="Q12" i="164" s="1"/>
  <c r="M12" i="164" s="1"/>
  <c r="AS35" i="37"/>
  <c r="K11" i="164"/>
  <c r="H11" i="164" s="1"/>
  <c r="D11" i="164" s="1"/>
  <c r="G19" i="164"/>
  <c r="U16" i="64"/>
  <c r="U16" i="164"/>
  <c r="S13" i="164"/>
  <c r="Q13" i="164" s="1"/>
  <c r="M13" i="164" s="1"/>
  <c r="F17" i="164"/>
  <c r="C8" i="178"/>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64"/>
  <c r="O11" i="164"/>
  <c r="I14" i="178"/>
  <c r="G21" i="64"/>
  <c r="G21" i="164"/>
  <c r="E19" i="164"/>
  <c r="O15" i="164"/>
  <c r="N15" i="164" s="1"/>
  <c r="K14" i="164"/>
  <c r="H14" i="164" s="1"/>
  <c r="D14" i="164" s="1"/>
  <c r="J17" i="164"/>
  <c r="N18" i="164"/>
  <c r="K15" i="164"/>
  <c r="H15" i="164" s="1"/>
  <c r="D15" i="164"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64"/>
  <c r="N20" i="164" s="1"/>
  <c r="F19" i="164"/>
  <c r="CP40" i="48"/>
  <c r="S58" i="45"/>
  <c r="R58" i="45" s="1"/>
  <c r="E20" i="164"/>
  <c r="K10" i="164"/>
  <c r="G22" i="164"/>
  <c r="C14" i="178"/>
  <c r="W13" i="40"/>
  <c r="E14" i="160"/>
  <c r="E21" i="164"/>
  <c r="F21" i="164" s="1"/>
  <c r="S11" i="164"/>
  <c r="Q11" i="164" s="1"/>
  <c r="O22" i="164"/>
  <c r="N11" i="164"/>
  <c r="S14" i="164"/>
  <c r="Q14" i="164" s="1"/>
  <c r="M14" i="164" s="1"/>
  <c r="J18" i="164"/>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I16" i="178"/>
  <c r="C16" i="178" s="1"/>
  <c r="U10" i="164"/>
  <c r="S15" i="164"/>
  <c r="Q15" i="164" s="1"/>
  <c r="M15" i="164" s="1"/>
  <c r="P21" i="164"/>
  <c r="I15" i="178"/>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9" i="158"/>
  <c r="BB11" i="44"/>
  <c r="BB10" i="44" s="1"/>
  <c r="J10" i="164"/>
  <c r="Y58" i="45"/>
  <c r="X58" i="45" s="1"/>
  <c r="I18" i="178"/>
  <c r="C18" i="178" s="1"/>
  <c r="I17" i="178"/>
  <c r="C17" i="178" s="1"/>
  <c r="C15" i="178"/>
  <c r="E15" i="160"/>
  <c r="E12" i="160" s="1"/>
  <c r="N21" i="164"/>
  <c r="N22" i="164" s="1"/>
  <c r="P22" i="164"/>
  <c r="C14" i="160"/>
  <c r="E114" i="162"/>
  <c r="S16" i="164"/>
  <c r="Q16" i="164" s="1"/>
  <c r="M16" i="164" s="1"/>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64" l="1"/>
  <c r="K18" i="164"/>
  <c r="H18" i="164" s="1"/>
  <c r="D18" i="164" s="1"/>
  <c r="H10" i="164"/>
  <c r="E27" i="160"/>
  <c r="C27" i="160" s="1"/>
  <c r="R17" i="164"/>
  <c r="C22" i="161"/>
  <c r="C20" i="161" s="1"/>
  <c r="D15" i="160"/>
  <c r="H16" i="164"/>
  <c r="D16" i="164" s="1"/>
  <c r="D114" i="162"/>
  <c r="E10" i="162"/>
  <c r="S10" i="16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2" i="158"/>
  <c r="F115" i="162"/>
  <c r="C20" i="149"/>
  <c r="C19" i="149" s="1"/>
  <c r="R22" i="164"/>
  <c r="K17" i="164"/>
  <c r="J19" i="164"/>
  <c r="K20" i="164"/>
  <c r="H20" i="164" s="1"/>
  <c r="D20" i="164" s="1"/>
  <c r="C17" i="158"/>
  <c r="Q10" i="164"/>
  <c r="C30" i="158"/>
  <c r="C28" i="158" s="1"/>
  <c r="C114" i="162"/>
  <c r="I19" i="178"/>
  <c r="C15" i="160"/>
  <c r="C12" i="160" s="1"/>
  <c r="D12" i="160"/>
  <c r="D11" i="160" s="1"/>
  <c r="S18" i="164"/>
  <c r="Q18" i="164" s="1"/>
  <c r="M18" i="164" s="1"/>
  <c r="K19" i="64"/>
  <c r="K19" i="164"/>
  <c r="C19" i="161"/>
  <c r="D10" i="164"/>
  <c r="E35" i="154"/>
  <c r="H35" i="154" s="1"/>
  <c r="M10" i="44"/>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DA39" i="48"/>
  <c r="S19" i="164"/>
  <c r="Q19" i="164" s="1"/>
  <c r="M19" i="164" s="1"/>
  <c r="S20" i="164"/>
  <c r="Q20" i="164" s="1"/>
  <c r="M20" i="164" s="1"/>
  <c r="C19" i="178"/>
  <c r="C20" i="178" s="1"/>
  <c r="I20" i="178"/>
  <c r="S33" i="7"/>
  <c r="V34" i="152"/>
  <c r="U34" i="152" s="1"/>
  <c r="U74" i="152" s="1"/>
  <c r="H19" i="164"/>
  <c r="D19" i="164" s="1"/>
  <c r="M10" i="164"/>
  <c r="CZ30" i="48"/>
  <c r="O10" i="15" s="1"/>
  <c r="C8" i="161"/>
  <c r="C10" i="161"/>
  <c r="F17" i="161"/>
  <c r="S17" i="164"/>
  <c r="D16" i="160"/>
  <c r="C16" i="160" s="1"/>
  <c r="C23" i="161"/>
  <c r="C18" i="158"/>
  <c r="C16" i="158"/>
  <c r="F26" i="158" s="1"/>
  <c r="F27" i="158" s="1"/>
  <c r="H17" i="164"/>
  <c r="D115" i="162"/>
  <c r="F10" i="162"/>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31" i="158" l="1"/>
  <c r="Q17" i="164"/>
  <c r="G115" i="162"/>
  <c r="G10" i="162" s="1"/>
  <c r="C115" i="162"/>
  <c r="D10" i="162"/>
  <c r="D17" i="164"/>
  <c r="F29" i="158"/>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64"/>
  <c r="K22" i="164" s="1"/>
  <c r="U21" i="164"/>
  <c r="U22" i="164" s="1"/>
  <c r="E6" i="70"/>
  <c r="E9" i="110"/>
  <c r="E6" i="110" s="1"/>
  <c r="M17" i="164"/>
  <c r="K26" i="152"/>
  <c r="I26" i="152" s="1"/>
  <c r="I25" i="152" s="1"/>
  <c r="I21" i="152" s="1"/>
  <c r="C66" i="161"/>
  <c r="D52" i="160"/>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64" l="1"/>
  <c r="K20" i="152"/>
  <c r="N20" i="152" s="1"/>
  <c r="C65" i="161"/>
  <c r="C63" i="161" s="1"/>
  <c r="D51" i="160"/>
  <c r="D48" i="160" s="1"/>
  <c r="J21" i="164"/>
  <c r="E50" i="154"/>
  <c r="C47" i="158"/>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60"/>
  <c r="K10" i="152"/>
  <c r="I10" i="152" s="1"/>
  <c r="H21" i="164"/>
  <c r="J22" i="164"/>
  <c r="Q21" i="164"/>
  <c r="S22" i="164"/>
  <c r="I20" i="152"/>
  <c r="I18" i="152" s="1"/>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40" i="158"/>
  <c r="BB22" i="44"/>
  <c r="BB9" i="44" s="1"/>
  <c r="BB8" i="44" s="1"/>
  <c r="D21" i="164"/>
  <c r="D22" i="164" s="1"/>
  <c r="H22" i="164"/>
  <c r="E29" i="160"/>
  <c r="C29" i="160" s="1"/>
  <c r="C25" i="160"/>
  <c r="C11" i="160" s="1"/>
  <c r="H11" i="160" s="1"/>
  <c r="H46" i="160" s="1"/>
  <c r="E11" i="160"/>
  <c r="AL127" i="162"/>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AL10" i="162"/>
  <c r="C127" i="162"/>
  <c r="C10" i="162" s="1"/>
  <c r="C44" i="158"/>
  <c r="F40" i="158"/>
  <c r="C27" i="158"/>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P202" i="13"/>
  <c r="Y33" i="152"/>
  <c r="C26" i="158"/>
  <c r="H26" i="158" s="1"/>
  <c r="H27" i="158"/>
  <c r="C4" i="162"/>
  <c r="AB34" i="153"/>
  <c r="AB33" i="153" s="1"/>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62" l="1"/>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6.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7.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8.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9.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1.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3.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4.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5.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6.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7.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48.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49.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1.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2.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3.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4.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5.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6.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7.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8.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9.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1.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2.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3.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4.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5.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<sst xmlns="http://schemas.openxmlformats.org/spreadsheetml/2006/main" count="14216" uniqueCount="3287">
  <si>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</si>
  <si>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</si>
  <si>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</si>
  <si>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</si>
  <si>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</si>
  <si>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</si>
  <si>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</si>
  <si>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</si>
  <si>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</si>
  <si>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</si>
  <si>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</si>
  <si>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</si>
  <si>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</si>
  <si>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</si>
  <si>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</si>
  <si>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</si>
  <si>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</si>
  <si>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</si>
  <si>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</si>
  <si>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</si>
  <si>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</si>
  <si>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</si>
  <si>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</si>
  <si>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</si>
  <si>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</si>
  <si>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</si>
  <si>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</si>
  <si>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</si>
  <si>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</si>
  <si>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</si>
  <si>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</si>
  <si>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</si>
  <si>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</si>
  <si>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</si>
  <si>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</si>
  <si>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</si>
  <si>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</si>
  <si>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</si>
  <si>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</si>
  <si>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</si>
  <si>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</si>
  <si>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</si>
  <si>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</si>
  <si>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</si>
  <si>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</si>
  <si>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</si>
  <si>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</si>
  <si>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</si>
  <si>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</si>
  <si>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</si>
  <si>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</si>
  <si>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</si>
  <si>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</si>
  <si>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</si>
  <si>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</si>
  <si>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</si>
  <si>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</si>
  <si>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</si>
  <si>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</si>
  <si>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</si>
  <si>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</si>
  <si>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</si>
  <si>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</si>
  <si>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</si>
  <si>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</si>
  <si>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</si>
  <si>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</si>
  <si>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</si>
  <si>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</si>
  <si>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</si>
  <si>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</si>
  <si>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</si>
  <si>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</si>
  <si>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</si>
  <si>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</si>
  <si>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</si>
  <si>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</si>
  <si>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</si>
  <si>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</si>
  <si>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</si>
  <si>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</si>
  <si>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</si>
  <si>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</si>
  <si>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</si>
  <si>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</si>
  <si>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</si>
  <si>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</si>
  <si>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</si>
  <si>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</si>
  <si>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</si>
  <si>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</si>
  <si>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</si>
  <si>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</si>
  <si>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</si>
  <si>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</si>
  <si>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</si>
  <si>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</si>
  <si>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</si>
  <si>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</si>
  <si>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</si>
  <si>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</si>
  <si>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</si>
  <si>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</si>
  <si>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</si>
  <si>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</si>
  <si>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</si>
  <si>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</si>
  <si>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</si>
  <si>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</si>
  <si>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</si>
  <si>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</si>
  <si>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</si>
  <si>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</si>
  <si>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</si>
  <si>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</si>
  <si>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</si>
  <si>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</si>
  <si>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</si>
  <si>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</si>
  <si>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</si>
  <si>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</si>
  <si>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</si>
  <si>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</si>
  <si>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</si>
  <si>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</si>
  <si>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</si>
  <si>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</si>
  <si>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</si>
  <si>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</si>
  <si>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</si>
  <si>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</si>
  <si>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</si>
  <si>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</si>
  <si>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</si>
  <si>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</si>
  <si>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</si>
  <si>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</si>
  <si>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</si>
  <si>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</si>
  <si>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</si>
  <si>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</si>
  <si>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</si>
  <si>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</si>
  <si>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</si>
  <si>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</si>
  <si>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</si>
  <si>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</si>
  <si>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</si>
  <si>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</si>
  <si>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</si>
  <si>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</si>
  <si>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</si>
  <si>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</si>
  <si>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</si>
  <si>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</si>
  <si>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</si>
  <si>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</si>
  <si>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</si>
  <si>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</si>
  <si>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</si>
  <si>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</si>
  <si>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</si>
  <si>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</si>
  <si>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</si>
  <si>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</si>
  <si>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</si>
  <si>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</si>
  <si>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</si>
  <si>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</si>
  <si>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</si>
  <si>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</si>
  <si>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</si>
  <si>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</si>
  <si>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</si>
  <si>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</si>
  <si>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</si>
  <si>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</si>
  <si>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</si>
  <si>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</si>
  <si>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</si>
  <si>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</si>
  <si>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</si>
  <si>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</si>
  <si>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</si>
  <si>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</si>
  <si>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</si>
  <si>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</si>
  <si>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</si>
  <si>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</si>
  <si>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</si>
  <si>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</si>
  <si>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</si>
  <si>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</si>
  <si>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</si>
  <si>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</si>
  <si>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</si>
  <si>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</si>
  <si>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</si>
  <si>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</si>
  <si>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</si>
  <si>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</si>
  <si>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</si>
  <si>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</si>
  <si>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</si>
  <si>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</si>
  <si>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</si>
  <si>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</si>
  <si>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</si>
  <si>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</si>
  <si>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</si>
  <si>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</si>
  <si>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</si>
  <si>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</si>
  <si>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</si>
  <si>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</si>
  <si>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</si>
  <si>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</si>
  <si>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</si>
  <si>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</si>
  <si>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</si>
  <si>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</si>
  <si>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</si>
  <si>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</si>
  <si>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</si>
  <si>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</si>
  <si>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</si>
  <si>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</si>
  <si>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</si>
  <si>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</si>
  <si>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</si>
  <si>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</si>
  <si>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</si>
  <si>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</si>
  <si>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</si>
  <si>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</si>
  <si>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</si>
  <si>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</si>
  <si>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</si>
  <si>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</si>
  <si>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</si>
  <si>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</si>
  <si>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</si>
  <si>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</si>
  <si>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</si>
  <si>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</si>
  <si>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</si>
  <si>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</si>
  <si>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</si>
  <si>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</si>
  <si>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</si>
  <si>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</si>
  <si>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</si>
  <si>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</si>
  <si>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</si>
  <si>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</si>
  <si>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</si>
  <si>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</si>
  <si>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</si>
  <si>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</si>
  <si>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</si>
  <si>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</si>
  <si>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</si>
  <si>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</si>
  <si>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</si>
  <si>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</si>
  <si>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</si>
  <si>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</si>
  <si>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</si>
  <si>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</si>
  <si>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</si>
  <si>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</si>
  <si>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</si>
  <si>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</si>
  <si>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</si>
  <si>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</si>
  <si>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</si>
  <si>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</si>
  <si>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</si>
  <si>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</si>
  <si>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</si>
  <si>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</si>
  <si>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</si>
  <si>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</si>
  <si>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</si>
  <si>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</si>
  <si>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</si>
  <si>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</si>
  <si>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</si>
  <si>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</si>
  <si>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</si>
  <si>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</si>
  <si>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</si>
  <si>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</si>
  <si>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</si>
  <si>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</si>
  <si>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</si>
  <si>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</si>
  <si>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</si>
  <si>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</si>
  <si>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</si>
  <si>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</si>
  <si>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</si>
  <si>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</si>
  <si>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</si>
  <si>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</si>
  <si>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</si>
  <si>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</si>
  <si>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</si>
  <si>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</si>
  <si>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</si>
  <si>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</si>
  <si>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</si>
  <si>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</si>
  <si>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</si>
  <si>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</si>
  <si>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</si>
  <si>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</si>
  <si>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</si>
  <si>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</si>
  <si>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</si>
  <si>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</si>
  <si>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</si>
  <si>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</si>
  <si>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</si>
  <si>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</si>
  <si>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</si>
  <si>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</si>
  <si>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</si>
  <si>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</si>
  <si>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</si>
  <si>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</si>
  <si>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</si>
  <si>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</si>
  <si>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</si>
  <si>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</si>
  <si>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</si>
  <si>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</si>
  <si>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</si>
  <si>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</si>
  <si>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</si>
  <si>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</si>
  <si>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</si>
  <si>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</si>
  <si>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</si>
  <si>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</si>
  <si>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</si>
  <si>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</si>
  <si>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</si>
  <si>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</si>
  <si>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</si>
  <si>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</si>
  <si>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</si>
  <si>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</si>
  <si>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</si>
  <si>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</si>
  <si>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</si>
  <si>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</si>
  <si>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</si>
  <si>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</si>
  <si>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</si>
  <si>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</si>
  <si>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</si>
  <si>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</si>
  <si>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</si>
  <si>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</si>
  <si>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</si>
  <si>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</si>
  <si>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</si>
  <si>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</si>
  <si>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</si>
  <si>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</si>
  <si>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</si>
  <si>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</si>
  <si>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</si>
  <si>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</si>
  <si>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</si>
  <si>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</si>
  <si>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</si>
  <si>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</si>
  <si>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</si>
  <si>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</si>
  <si>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</si>
  <si>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</si>
  <si>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</si>
  <si>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</si>
  <si>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</si>
  <si>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</si>
  <si>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</si>
  <si>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</si>
  <si>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</si>
  <si>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</si>
  <si>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</si>
  <si>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</si>
  <si>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</si>
  <si>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</si>
  <si>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</si>
  <si>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</si>
  <si>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</si>
  <si>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</si>
  <si>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</si>
  <si>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</si>
  <si>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</si>
  <si>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</si>
  <si>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</si>
  <si>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</si>
  <si>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</si>
  <si>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</si>
  <si>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</si>
  <si>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</si>
  <si>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</si>
  <si>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</si>
  <si>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</si>
  <si>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</si>
  <si>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</si>
  <si>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</si>
  <si>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</si>
  <si>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</si>
  <si>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</si>
  <si>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</si>
  <si>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</si>
  <si>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</si>
  <si>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</si>
  <si>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</si>
  <si>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</si>
  <si>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</si>
  <si>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</si>
  <si>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</si>
  <si>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</si>
  <si>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</si>
  <si>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</si>
  <si>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</si>
  <si>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</si>
  <si>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</si>
  <si>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</si>
  <si>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</si>
  <si>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</si>
  <si>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</si>
  <si>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</si>
  <si>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</si>
  <si>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</si>
  <si>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</si>
  <si>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</si>
  <si>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</si>
  <si>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</si>
  <si>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</si>
  <si>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</si>
  <si>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</si>
  <si>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</si>
  <si>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</si>
  <si>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</si>
  <si>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</si>
  <si>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</si>
  <si>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</si>
  <si>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</si>
  <si>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</si>
  <si>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</si>
  <si>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</si>
  <si>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</si>
  <si>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</si>
  <si>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</si>
  <si>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</si>
  <si>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</si>
  <si>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</si>
  <si>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</si>
  <si>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</si>
  <si>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</si>
  <si>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</si>
  <si>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</si>
  <si>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</si>
  <si>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</si>
  <si>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</si>
  <si>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</si>
  <si>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</si>
  <si>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</si>
  <si>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</si>
  <si>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</si>
  <si>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</si>
  <si>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</si>
  <si>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</si>
  <si>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</si>
  <si>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</si>
  <si>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</si>
  <si>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</si>
  <si>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</si>
  <si>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</si>
  <si>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</si>
  <si>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</si>
  <si>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</si>
  <si>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</si>
  <si>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</si>
  <si>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</si>
  <si>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</si>
  <si>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</si>
  <si>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</si>
  <si>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</si>
  <si>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</si>
  <si>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</si>
  <si>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</si>
  <si>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</si>
  <si>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</si>
  <si>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</si>
  <si>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</si>
  <si>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</si>
  <si>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</si>
  <si>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</si>
  <si>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</si>
  <si>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</si>
  <si>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</si>
  <si>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</si>
  <si>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</si>
  <si>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</si>
  <si>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</si>
  <si>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</si>
  <si>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</si>
  <si>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</si>
  <si>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</si>
  <si>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</si>
  <si>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</si>
  <si>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</si>
  <si>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</si>
  <si>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</si>
  <si>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</si>
  <si>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</si>
  <si>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</si>
  <si>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</si>
  <si>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</si>
  <si>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</si>
  <si>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</si>
  <si>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</si>
  <si>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</si>
  <si>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</si>
  <si>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</si>
  <si>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</si>
  <si>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</si>
  <si>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</si>
  <si>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</si>
  <si>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</si>
  <si>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</si>
  <si>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</si>
  <si>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</si>
  <si>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</si>
  <si>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</si>
  <si>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</si>
  <si>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</si>
  <si>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</si>
  <si>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</si>
  <si>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</si>
  <si>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</si>
  <si>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</si>
  <si>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</si>
  <si>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</si>
  <si>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</si>
  <si>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</si>
  <si>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</si>
  <si>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</si>
  <si>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</si>
  <si>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</si>
  <si>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</si>
  <si>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</si>
  <si>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</si>
  <si>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</si>
  <si>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</si>
  <si>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</si>
  <si>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</si>
  <si>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</si>
  <si>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</si>
  <si>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</si>
  <si>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</si>
  <si>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</si>
  <si>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</si>
  <si>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</si>
  <si>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</si>
  <si>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</si>
  <si>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</si>
  <si>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</si>
  <si>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</si>
  <si>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</si>
  <si>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</si>
  <si>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</si>
  <si>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</si>
  <si>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</si>
  <si>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</si>
  <si>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</si>
  <si>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</si>
  <si>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</si>
  <si>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</si>
  <si>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</si>
  <si>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</si>
  <si>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</si>
  <si>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</si>
  <si>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</si>
  <si>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</si>
  <si>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</si>
  <si>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</si>
  <si>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</si>
  <si>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</si>
  <si>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</si>
  <si>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</si>
  <si>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</si>
  <si>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</si>
  <si>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</si>
  <si>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</si>
  <si>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</si>
  <si>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</si>
  <si>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</si>
  <si>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</si>
  <si>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</si>
  <si>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</si>
  <si>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</si>
  <si>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</si>
  <si>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</si>
  <si>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</si>
  <si>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</si>
  <si>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</si>
  <si>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</si>
  <si>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</si>
  <si>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</si>
  <si>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</si>
  <si>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</si>
  <si>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</si>
  <si>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</si>
  <si>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</si>
  <si>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</si>
  <si>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</si>
  <si>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</si>
  <si>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</si>
  <si>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</si>
  <si>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</si>
  <si>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</si>
  <si>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</si>
  <si>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</si>
  <si>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</si>
  <si>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</si>
  <si>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</si>
  <si>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</si>
  <si>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</si>
  <si>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</si>
  <si>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</si>
  <si>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</si>
  <si>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</si>
  <si>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</si>
  <si>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</si>
  <si>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</si>
  <si>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</si>
  <si>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</si>
  <si>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</si>
  <si>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</si>
  <si>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</si>
  <si>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</si>
  <si>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</si>
  <si>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</si>
  <si>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</si>
  <si>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</si>
  <si>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</si>
  <si>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</si>
  <si>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</si>
  <si>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</si>
  <si>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</si>
  <si>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</si>
  <si>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</si>
  <si>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</si>
  <si>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</si>
  <si>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</si>
  <si>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</si>
  <si>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</si>
  <si>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</si>
  <si>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</si>
  <si>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</si>
  <si>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</si>
  <si>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</si>
  <si>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</si>
  <si>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</si>
  <si>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</si>
  <si>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</si>
  <si>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</si>
  <si>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</si>
  <si>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</si>
  <si>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</si>
  <si>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</si>
  <si>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</si>
  <si>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</si>
  <si>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</si>
  <si>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</si>
  <si>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</si>
  <si>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</si>
  <si>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</si>
  <si>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</si>
  <si>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</si>
  <si>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</si>
  <si>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</si>
  <si>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</si>
  <si>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</si>
  <si>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</si>
  <si>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</si>
  <si>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</si>
  <si>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</si>
  <si>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</si>
  <si>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</si>
  <si>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</si>
  <si>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</si>
  <si>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</si>
  <si>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</si>
  <si>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</si>
  <si>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</si>
  <si>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</si>
  <si>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</si>
  <si>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</si>
  <si>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</si>
  <si>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</si>
  <si>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</si>
  <si>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</si>
  <si>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</si>
  <si>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</si>
  <si>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</si>
  <si>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</si>
  <si>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</si>
  <si>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</si>
  <si>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</si>
  <si>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</si>
  <si>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</si>
  <si>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</si>
  <si>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</si>
  <si>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</si>
  <si>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</si>
  <si>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</si>
  <si>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</si>
  <si>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</si>
  <si>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</si>
  <si>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</si>
  <si>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</si>
  <si>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</si>
  <si>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</si>
  <si>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</si>
  <si>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</si>
  <si>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</si>
  <si>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</si>
  <si>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</si>
  <si>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</si>
  <si>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</si>
  <si>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</si>
  <si>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</si>
  <si>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</si>
  <si>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</si>
  <si>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</si>
  <si>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</si>
  <si>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</si>
  <si>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</si>
  <si>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</si>
  <si>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</si>
  <si>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</si>
  <si>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</si>
  <si>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</si>
  <si>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</si>
  <si>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</si>
  <si>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</si>
  <si>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</si>
  <si>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</si>
  <si>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</si>
  <si>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</si>
  <si>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</si>
  <si>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</si>
  <si>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</si>
  <si>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</si>
  <si>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</si>
  <si>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</si>
  <si>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</si>
  <si>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</si>
  <si>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</si>
  <si>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</si>
  <si>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</si>
  <si>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</si>
  <si>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</si>
  <si>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</si>
  <si>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</si>
  <si>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</si>
  <si>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</si>
  <si>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</si>
  <si>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</si>
  <si>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</si>
  <si>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</si>
  <si>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</si>
  <si>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</si>
  <si>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</si>
  <si>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</si>
  <si>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</si>
  <si>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</si>
  <si>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</si>
  <si>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</si>
  <si>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</si>
  <si>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</si>
  <si>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</si>
  <si>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</si>
  <si>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</si>
  <si>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</si>
  <si>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</si>
  <si>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</si>
  <si>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</si>
  <si>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</si>
  <si>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</si>
  <si>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</si>
  <si>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</si>
  <si>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</si>
  <si>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</si>
  <si>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</si>
  <si>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</si>
  <si>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</si>
  <si>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</si>
  <si>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</si>
  <si>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</si>
  <si>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</si>
  <si>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</si>
  <si>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</si>
  <si>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</si>
  <si>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</si>
  <si>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</si>
  <si>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</si>
  <si>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</si>
  <si>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</si>
  <si>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</si>
  <si>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</si>
  <si>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</si>
  <si>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</si>
  <si>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</si>
  <si>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</si>
  <si>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</si>
  <si>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</si>
  <si>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</si>
  <si>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</si>
  <si>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</si>
  <si>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</si>
  <si>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</si>
  <si>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</si>
  <si>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</si>
  <si>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</si>
  <si>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</si>
  <si>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</si>
  <si>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</si>
  <si>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</si>
  <si>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</si>
  <si>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</si>
  <si>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</si>
  <si>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</si>
  <si>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</si>
  <si>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</si>
  <si>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</si>
  <si>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</si>
  <si>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</si>
  <si>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</si>
  <si>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</si>
  <si>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</si>
  <si>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</si>
  <si>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</si>
  <si>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</si>
  <si>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</si>
  <si>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</si>
  <si>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</si>
  <si>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</si>
  <si>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</si>
  <si>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</si>
  <si>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</si>
  <si>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</si>
  <si>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</si>
  <si>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</si>
  <si>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</si>
  <si>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</si>
  <si>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</si>
  <si>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</si>
  <si>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</si>
  <si>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</si>
  <si>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</si>
  <si>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</si>
  <si>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</si>
  <si>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</si>
  <si>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</si>
  <si>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</si>
  <si>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</si>
  <si>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</si>
  <si>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</si>
  <si>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</si>
  <si>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</si>
  <si>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</si>
  <si>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</si>
  <si>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</si>
  <si>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</si>
  <si>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</si>
  <si>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</si>
  <si>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</si>
  <si>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</si>
  <si>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</si>
  <si>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</si>
  <si>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</si>
  <si>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</si>
  <si>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</si>
  <si>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</si>
  <si>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</si>
  <si>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</si>
  <si>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</si>
  <si>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</si>
  <si>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</si>
  <si>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</si>
  <si>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</si>
  <si>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</si>
  <si>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</si>
  <si>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</si>
  <si>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</si>
  <si>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</si>
  <si>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</si>
  <si>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</si>
  <si>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</si>
  <si>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</si>
  <si>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</si>
  <si>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</si>
  <si>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</si>
  <si>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</si>
  <si>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</si>
  <si>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</si>
  <si>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</si>
  <si>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</si>
  <si>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</si>
  <si>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</si>
  <si>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</si>
  <si>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</si>
  <si>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</si>
  <si>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</si>
  <si>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</si>
  <si>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</si>
  <si>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</si>
  <si>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</si>
  <si>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</si>
  <si>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</si>
  <si>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</si>
  <si>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</si>
  <si>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</si>
  <si>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</si>
  <si>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</si>
  <si>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</si>
  <si>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</si>
  <si>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</si>
  <si>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</si>
  <si>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</si>
  <si>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</si>
  <si>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</si>
  <si>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</si>
  <si>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</si>
  <si>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</si>
  <si>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</si>
  <si>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</si>
  <si>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</si>
  <si>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</si>
  <si>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</si>
  <si>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</si>
  <si>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</si>
  <si>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</si>
  <si>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</si>
  <si>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</si>
  <si>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</si>
  <si>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</si>
  <si>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</si>
  <si>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</si>
  <si>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</si>
  <si>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</si>
  <si>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</si>
  <si>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</si>
  <si>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</si>
  <si>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</si>
  <si>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</si>
  <si>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</si>
  <si>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</si>
  <si>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</si>
  <si>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</si>
  <si>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</si>
  <si>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</si>
  <si>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</si>
  <si>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</si>
  <si>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</si>
  <si>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</si>
  <si>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</si>
  <si>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</si>
  <si>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</si>
  <si>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</si>
  <si>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</si>
  <si>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</si>
  <si>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</si>
  <si>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</si>
  <si>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</si>
  <si>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</si>
  <si>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</si>
  <si>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</si>
  <si>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</si>
  <si>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</si>
  <si>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</si>
  <si>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</si>
  <si>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</si>
  <si>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</si>
  <si>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</si>
  <si>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</si>
  <si>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</si>
  <si>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</si>
  <si>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</si>
  <si>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</si>
  <si>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</si>
  <si>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</si>
  <si>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</si>
  <si>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</si>
  <si>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</si>
  <si>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</si>
  <si>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</si>
  <si>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</si>
  <si>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</si>
  <si>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</si>
  <si>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</si>
  <si>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</si>
  <si>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</si>
  <si>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</si>
  <si>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</si>
  <si>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</si>
  <si>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</si>
  <si>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</si>
  <si>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</si>
  <si>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</si>
  <si>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</si>
  <si>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</si>
  <si>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</si>
  <si>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</si>
  <si>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</si>
  <si>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</si>
  <si>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</si>
  <si>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</si>
  <si>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</si>
  <si>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</si>
  <si>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</si>
  <si>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</si>
  <si>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</si>
  <si>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</si>
  <si>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</si>
  <si>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</si>
  <si>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</si>
  <si>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</si>
  <si>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</si>
  <si>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</si>
  <si>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</si>
  <si>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</si>
  <si>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</si>
  <si>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</si>
  <si>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</si>
  <si>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</si>
  <si>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</si>
  <si>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</si>
  <si>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</si>
  <si>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</si>
  <si>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</si>
  <si>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</si>
  <si>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</si>
  <si>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</si>
  <si>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</si>
  <si>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</si>
  <si>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</si>
  <si>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</si>
  <si>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</si>
  <si>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</si>
  <si>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</si>
  <si>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</si>
  <si>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</si>
  <si>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</si>
  <si>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</si>
  <si>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</si>
  <si>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</si>
  <si>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</si>
  <si>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</si>
  <si>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</si>
  <si>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</si>
  <si>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</si>
  <si>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</si>
  <si>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</si>
  <si>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</si>
  <si>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</si>
  <si>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</si>
  <si>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</si>
  <si>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</si>
  <si>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</si>
  <si>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</si>
  <si>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</si>
  <si>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</si>
  <si>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</si>
  <si>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</si>
  <si>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</si>
  <si>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</si>
  <si>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</si>
  <si>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</si>
  <si>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</si>
  <si>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</si>
  <si>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</si>
  <si>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</si>
  <si>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</si>
  <si>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</si>
  <si>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</si>
  <si>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</si>
  <si>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</si>
  <si>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</si>
  <si>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</si>
  <si>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</si>
  <si>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</si>
  <si>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</si>
  <si>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</si>
  <si>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</si>
  <si>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</si>
  <si>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</si>
  <si>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</si>
  <si>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</si>
  <si>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</si>
  <si>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</si>
  <si>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</si>
  <si>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</si>
  <si>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</si>
  <si>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</si>
  <si>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</si>
  <si>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</si>
  <si>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</si>
  <si>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</si>
  <si>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</si>
  <si>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</si>
  <si>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</si>
  <si>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</si>
  <si>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</si>
  <si>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</si>
  <si>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</si>
  <si>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</si>
  <si>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</si>
  <si>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</si>
  <si>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</si>
  <si>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</si>
  <si>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</si>
  <si>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</si>
  <si>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</si>
  <si>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</si>
  <si>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</si>
  <si>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</si>
  <si>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</si>
  <si>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</si>
  <si>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</si>
  <si>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</si>
  <si>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</si>
  <si>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</si>
  <si>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</si>
  <si>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</si>
  <si>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</si>
  <si>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</si>
  <si>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</si>
  <si>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</si>
  <si>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</si>
  <si>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</si>
  <si>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</si>
  <si>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</si>
  <si>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</si>
  <si>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</si>
  <si>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</si>
  <si>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</si>
  <si>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</si>
  <si>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</si>
  <si>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</si>
  <si>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</si>
  <si>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</si>
  <si>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</si>
  <si>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</si>
  <si>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</si>
  <si>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</si>
  <si>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</si>
  <si>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</si>
  <si>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</si>
  <si>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</si>
  <si>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</si>
  <si>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</si>
  <si>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</si>
  <si>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</si>
  <si>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</si>
  <si>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</si>
  <si>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</si>
  <si>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</si>
  <si>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</si>
  <si>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</si>
  <si>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</si>
  <si>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</si>
  <si>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</si>
  <si>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</si>
  <si>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</si>
  <si>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</si>
  <si>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</si>
  <si>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</si>
  <si>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</si>
  <si>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</si>
  <si>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</si>
  <si>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</si>
  <si>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</si>
  <si>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</si>
  <si>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</si>
  <si>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</si>
  <si>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</si>
  <si>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</si>
  <si>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</si>
  <si>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</si>
  <si>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</si>
  <si>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</si>
  <si>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</si>
  <si>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</si>
  <si>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</si>
  <si>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</si>
  <si>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</si>
  <si>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</si>
  <si>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</si>
  <si>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</si>
  <si>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</si>
  <si>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</si>
  <si>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</si>
  <si>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</si>
  <si>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</si>
  <si>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</si>
  <si>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</si>
  <si>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</si>
  <si>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</si>
  <si>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</si>
  <si>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</si>
  <si>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</si>
  <si>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</si>
  <si>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</si>
  <si>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</si>
  <si>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</si>
  <si>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</si>
  <si>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</si>
  <si>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</si>
  <si>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</si>
  <si>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</si>
  <si>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</si>
  <si>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</si>
  <si>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</si>
  <si>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</si>
  <si>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</si>
  <si>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</si>
  <si>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</si>
  <si>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</si>
  <si>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</si>
  <si>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</si>
  <si>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</si>
  <si>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</si>
  <si>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</si>
  <si>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</si>
  <si>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</si>
  <si>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</si>
  <si>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</si>
  <si>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</si>
  <si>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</si>
  <si>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</si>
  <si>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</si>
  <si>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</si>
  <si>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</si>
  <si>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</si>
  <si>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</si>
  <si>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</si>
  <si>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</si>
  <si>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</si>
  <si>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</si>
  <si>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</si>
  <si>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</si>
  <si>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</si>
  <si>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</si>
  <si>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</si>
  <si>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</si>
  <si>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</si>
  <si>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</si>
  <si>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</si>
  <si>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</si>
  <si>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</si>
  <si>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</si>
  <si>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</si>
  <si>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</si>
  <si>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</si>
  <si>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</si>
  <si>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</si>
  <si>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</si>
  <si>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</si>
  <si>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</si>
  <si>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</si>
  <si>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</si>
  <si>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</si>
  <si>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</si>
  <si>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</si>
  <si>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</si>
  <si>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</si>
  <si>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</si>
  <si>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</si>
  <si>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</si>
  <si>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</si>
  <si>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</si>
  <si>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</si>
  <si>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</si>
  <si>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</si>
  <si>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</si>
  <si>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</si>
  <si>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</si>
  <si>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</si>
  <si>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</si>
  <si>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</si>
  <si>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</si>
  <si>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</si>
  <si>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</si>
  <si>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</si>
  <si>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</si>
  <si>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</si>
  <si>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</si>
  <si>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</si>
  <si>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</si>
  <si>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</si>
  <si>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</si>
  <si>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</si>
  <si>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</si>
  <si>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</si>
  <si>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</si>
  <si>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</si>
  <si>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</si>
  <si>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</si>
  <si>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</si>
  <si>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</si>
  <si>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</si>
  <si>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</si>
  <si>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</si>
  <si>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</si>
  <si>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</si>
  <si>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</si>
  <si>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</si>
  <si>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</si>
  <si>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</si>
  <si>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</si>
  <si>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</si>
  <si>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</si>
  <si>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</si>
  <si>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</si>
  <si>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</si>
  <si>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</si>
  <si>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</si>
  <si>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</si>
  <si>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</si>
  <si>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</si>
  <si>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</si>
  <si>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</si>
  <si>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</si>
  <si>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</si>
  <si>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</si>
  <si>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</si>
  <si>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</si>
  <si>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</si>
  <si>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</si>
  <si>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</si>
  <si>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</si>
  <si>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</si>
  <si>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</si>
  <si>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</si>
  <si>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</si>
  <si>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</si>
  <si>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</si>
  <si>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</si>
  <si>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</si>
  <si>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</si>
  <si>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</si>
  <si>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</si>
  <si>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</si>
  <si>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</si>
  <si>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</si>
  <si>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</si>
  <si>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</si>
  <si>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</si>
  <si>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</si>
  <si>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</si>
  <si>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</si>
  <si>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</si>
  <si>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</si>
  <si>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</si>
  <si>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</si>
  <si>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</si>
  <si>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</si>
  <si>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</si>
  <si>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</si>
  <si>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</si>
  <si>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</si>
  <si>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</si>
  <si>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</si>
  <si>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</si>
  <si>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</si>
  <si>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</si>
  <si>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</si>
  <si>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</si>
  <si>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</si>
  <si>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</si>
  <si>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</si>
  <si>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</si>
  <si>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</si>
  <si>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</si>
  <si>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</si>
  <si>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</si>
  <si>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</si>
  <si>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</si>
  <si>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</si>
  <si>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</si>
  <si>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</si>
  <si>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</si>
  <si>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</si>
  <si>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</si>
  <si>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</si>
  <si>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</si>
  <si>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</si>
  <si>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</si>
  <si>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</si>
  <si>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</si>
  <si>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</si>
  <si>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</si>
  <si>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</si>
  <si>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</si>
  <si>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</si>
  <si>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</si>
  <si>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</si>
  <si>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</si>
  <si>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</si>
  <si>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</si>
  <si>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</si>
  <si>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</si>
  <si>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</si>
  <si>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</si>
  <si>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</si>
  <si>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</si>
  <si>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</si>
  <si>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</si>
  <si>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</si>
  <si>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</si>
  <si>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</si>
  <si>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</si>
  <si>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</si>
  <si>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</si>
  <si>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</si>
  <si>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</si>
  <si>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</si>
  <si>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</si>
  <si>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</si>
  <si>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</si>
  <si>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</si>
  <si>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</si>
  <si>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</si>
  <si>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</si>
  <si>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</si>
  <si>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</si>
  <si>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</si>
  <si>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</si>
  <si>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</si>
  <si>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</si>
  <si>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</si>
  <si>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</si>
  <si>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</si>
  <si>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</si>
  <si>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</si>
  <si>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</si>
  <si>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</si>
  <si>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</si>
  <si>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</si>
  <si>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</si>
  <si>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</si>
  <si>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</si>
  <si>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</si>
  <si>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</si>
  <si>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</si>
  <si>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</si>
  <si>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</si>
  <si>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</si>
  <si>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</si>
  <si>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</si>
  <si>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</si>
  <si>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</si>
  <si>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</si>
  <si>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</si>
  <si>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</si>
  <si>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</si>
  <si>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</si>
  <si>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</si>
  <si>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</si>
  <si>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</si>
  <si>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</si>
  <si>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</si>
  <si>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</si>
  <si>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</si>
  <si>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</si>
  <si>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</si>
  <si>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</si>
  <si>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</si>
  <si>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</si>
  <si>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</si>
  <si>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</si>
  <si>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</si>
  <si>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</si>
  <si>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</si>
  <si>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</si>
  <si>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</si>
  <si>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</si>
  <si>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</si>
  <si>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</si>
  <si>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</si>
  <si>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</si>
  <si>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</si>
  <si>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</si>
  <si>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</si>
  <si>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</si>
  <si>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</si>
  <si>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</si>
  <si>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</si>
  <si>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</si>
  <si>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</si>
  <si>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</si>
  <si>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</si>
  <si>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</si>
  <si>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</si>
  <si>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</si>
  <si>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</si>
  <si>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</si>
  <si>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</si>
  <si>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</si>
  <si>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</si>
  <si>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</si>
  <si>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</si>
  <si>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</si>
  <si>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</si>
  <si>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</si>
  <si>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</si>
  <si>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</si>
  <si>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</si>
  <si>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</si>
  <si>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</si>
  <si>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</si>
  <si>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</si>
  <si>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</si>
  <si>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</si>
  <si>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</si>
  <si>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</si>
  <si>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</si>
  <si>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</si>
  <si>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</si>
  <si>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</si>
  <si>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</si>
  <si>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</si>
  <si>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</si>
  <si>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</si>
  <si>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</si>
  <si>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</si>
  <si>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</si>
  <si>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</si>
  <si>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</si>
  <si>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</si>
  <si>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</si>
  <si>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</si>
  <si>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</si>
  <si>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</si>
  <si>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</si>
  <si>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</si>
  <si>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</si>
  <si>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</si>
  <si>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</si>
  <si>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</si>
  <si>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</si>
  <si>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</si>
  <si>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</si>
  <si>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</si>
  <si>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</si>
  <si>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</si>
  <si>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</si>
  <si>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</si>
  <si>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</si>
  <si>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</si>
  <si>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</si>
  <si>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</si>
  <si>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</si>
  <si>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</si>
  <si>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</si>
  <si>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</si>
  <si>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</si>
  <si>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</si>
  <si>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</si>
  <si>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</si>
  <si>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</si>
  <si>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</si>
  <si>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</si>
  <si>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</si>
  <si>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</si>
  <si>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</si>
  <si>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</si>
  <si>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</si>
  <si>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</si>
  <si>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</si>
  <si>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</si>
  <si>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</si>
  <si>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</si>
  <si>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</si>
  <si>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</si>
  <si>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</si>
  <si>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</si>
  <si>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</si>
  <si>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</si>
  <si>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</si>
  <si>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</si>
  <si>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</si>
  <si>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</si>
  <si>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</si>
  <si>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</si>
  <si>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</si>
  <si>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</si>
  <si>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</si>
  <si>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</si>
  <si>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</si>
  <si>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</si>
  <si>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</si>
  <si>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</si>
  <si>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</si>
  <si>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</si>
  <si>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</si>
  <si>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</si>
  <si>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</si>
  <si>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</si>
  <si>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</si>
  <si>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</si>
  <si>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</si>
  <si>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</si>
  <si>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</si>
  <si>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</si>
  <si>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</si>
  <si>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</si>
  <si>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</si>
  <si>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</si>
  <si>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</si>
  <si>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</si>
  <si>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</si>
  <si>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</si>
  <si>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</si>
  <si>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</si>
  <si>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</si>
  <si>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</si>
  <si>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</si>
  <si>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</si>
  <si>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</si>
  <si>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</si>
  <si>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</si>
  <si>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</si>
  <si>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</si>
  <si>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</si>
  <si>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</si>
  <si>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</si>
  <si>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</si>
  <si>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</si>
  <si>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</si>
  <si>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</si>
  <si>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</si>
  <si>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</si>
  <si>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</si>
  <si>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</si>
  <si>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</si>
  <si>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</si>
  <si>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</si>
  <si>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</si>
  <si>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</si>
  <si>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</si>
  <si>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</si>
  <si>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</si>
  <si>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</si>
  <si>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</si>
  <si>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</si>
  <si>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</si>
  <si>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</si>
  <si>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</si>
  <si>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</si>
  <si>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</si>
  <si>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</si>
  <si>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</si>
  <si>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</si>
  <si>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</si>
  <si>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</si>
  <si>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</si>
  <si>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</si>
  <si>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</si>
  <si>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</si>
  <si>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</si>
  <si>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</si>
  <si>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</si>
  <si>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</si>
  <si>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</si>
  <si>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</si>
  <si>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</si>
  <si>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</si>
  <si>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</si>
  <si>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</si>
  <si>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</si>
  <si>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</si>
  <si>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</si>
  <si>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</si>
  <si>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</si>
  <si>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</si>
  <si>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</si>
  <si>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</si>
  <si>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</si>
  <si>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</si>
  <si>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</si>
  <si>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</si>
  <si>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</si>
  <si>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</si>
  <si>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</si>
  <si>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</si>
  <si>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</si>
  <si>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</si>
  <si>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</si>
  <si>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</si>
  <si>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</si>
  <si>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</si>
  <si>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</si>
  <si>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</si>
  <si>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</si>
  <si>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</si>
  <si>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</si>
  <si>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</si>
  <si>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</si>
  <si>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</si>
  <si>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</si>
  <si>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</si>
  <si>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</si>
  <si>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</si>
  <si>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</si>
  <si>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</si>
  <si>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</si>
  <si>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</si>
  <si>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</si>
  <si>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</si>
  <si>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</si>
  <si>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</si>
  <si>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</si>
  <si>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</si>
  <si>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</si>
  <si>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</si>
  <si>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</si>
  <si>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</si>
  <si>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</si>
  <si>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</si>
  <si>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</si>
  <si>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</si>
  <si>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</si>
  <si>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</si>
  <si>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</si>
  <si>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</si>
  <si>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</si>
  <si>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</si>
  <si>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</si>
  <si>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</si>
  <si>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</si>
  <si>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</si>
  <si>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</si>
  <si>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</si>
  <si>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</si>
  <si>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</si>
  <si>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</si>
  <si>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</si>
  <si>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</si>
  <si>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</si>
  <si>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</si>
  <si>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</si>
  <si>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</si>
  <si>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</si>
  <si>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</si>
  <si>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</si>
  <si>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</si>
  <si>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</si>
  <si>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</si>
  <si>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</si>
  <si>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</si>
  <si>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</si>
  <si>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</si>
  <si>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</si>
  <si>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</si>
  <si>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</si>
  <si>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</si>
  <si>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</si>
  <si>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</si>
  <si>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</si>
  <si>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</si>
  <si>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</si>
  <si>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</si>
  <si>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</si>
  <si>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</si>
  <si>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</si>
  <si>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</si>
  <si>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</si>
  <si>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</si>
  <si>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</si>
  <si>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</si>
  <si>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</si>
  <si>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</si>
  <si>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</si>
  <si>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</si>
  <si>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</si>
  <si>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</si>
  <si>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</si>
  <si>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</si>
  <si>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</si>
  <si>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</si>
  <si>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</si>
  <si>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</si>
  <si>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</si>
  <si>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</si>
  <si>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</si>
  <si>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</si>
  <si>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</si>
  <si>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</si>
  <si>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</si>
  <si>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</si>
  <si>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</si>
  <si>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</si>
  <si>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</si>
  <si>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</si>
  <si>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</si>
  <si>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</si>
  <si>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</si>
  <si>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</si>
  <si>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</si>
  <si>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</si>
  <si>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</si>
  <si>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</si>
  <si>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</si>
  <si>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</si>
  <si>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</si>
  <si>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</si>
  <si>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</si>
  <si>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</si>
  <si>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</si>
  <si>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</si>
  <si>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</si>
  <si>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</si>
  <si>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</si>
  <si>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</si>
  <si>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</si>
  <si>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</si>
  <si>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</si>
  <si>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</si>
  <si>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</si>
  <si>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</si>
  <si>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</si>
  <si>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</si>
  <si>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</si>
  <si>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</si>
  <si>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</si>
  <si>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</si>
  <si>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</si>
  <si>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</si>
  <si>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</si>
  <si>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</si>
  <si>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</si>
  <si>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</si>
  <si>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</si>
  <si>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</si>
  <si>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</si>
  <si>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</si>
  <si>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</si>
  <si>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</si>
  <si>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</si>
  <si>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</si>
  <si>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</si>
  <si>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</si>
  <si>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</si>
  <si>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</si>
  <si>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</si>
  <si>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</si>
  <si>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</si>
  <si>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</si>
  <si>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</si>
  <si>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</si>
  <si>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</si>
  <si>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</si>
  <si>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</si>
  <si>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</si>
  <si>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</si>
  <si>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</si>
  <si>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</si>
  <si>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</si>
  <si>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</si>
  <si>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</si>
  <si>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</si>
  <si>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</si>
  <si>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</si>
  <si>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</si>
  <si>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</si>
  <si>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</si>
  <si>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</si>
  <si>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</si>
  <si>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</si>
  <si>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</si>
  <si>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</si>
  <si>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</si>
  <si>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</si>
  <si>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</si>
  <si>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</si>
  <si>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</si>
  <si>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</si>
  <si>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</si>
  <si>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</si>
  <si>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</si>
  <si>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</si>
  <si>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</si>
  <si>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</si>
  <si>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</si>
  <si>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</si>
  <si>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</si>
  <si>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</si>
  <si>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</si>
  <si>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</si>
  <si>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</si>
  <si>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</si>
  <si>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</si>
  <si>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</si>
  <si>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</si>
  <si>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</si>
  <si>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</si>
  <si>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</si>
  <si>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</si>
  <si>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</si>
  <si>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</si>
  <si>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</si>
  <si>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</si>
  <si>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</si>
  <si>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</si>
  <si>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</si>
  <si>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</si>
  <si>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</si>
  <si>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</si>
  <si>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</si>
  <si>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</si>
  <si>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</si>
  <si>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</si>
  <si>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</si>
  <si>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</si>
  <si>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</si>
  <si>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</si>
  <si>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</si>
  <si>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</si>
  <si>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</si>
  <si>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</si>
  <si>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</si>
  <si>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</si>
  <si>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</si>
  <si>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</si>
  <si>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</si>
  <si>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</si>
  <si>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</si>
  <si>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</si>
  <si>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</si>
  <si>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</si>
  <si>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</si>
  <si>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</si>
  <si>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</si>
  <si>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</si>
  <si>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</si>
  <si>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</si>
  <si>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</si>
  <si>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</si>
  <si>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</si>
  <si>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</si>
  <si>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</si>
  <si>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</si>
  <si>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</si>
  <si>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</si>
  <si>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</si>
  <si>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</si>
  <si>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</si>
  <si>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</si>
  <si>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</si>
  <si>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</si>
  <si>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</si>
  <si>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</si>
  <si>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</si>
  <si>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</si>
  <si>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</si>
  <si>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</si>
  <si>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</si>
  <si>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</si>
  <si>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</si>
  <si>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</si>
  <si>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</si>
  <si>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</si>
  <si>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</si>
  <si>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</si>
  <si>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</si>
  <si>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</si>
  <si>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</si>
  <si>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</si>
  <si>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</si>
  <si>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</si>
  <si>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</si>
  <si>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</si>
  <si>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</si>
  <si>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</si>
  <si>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</si>
  <si>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</si>
  <si>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</si>
  <si>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</si>
  <si>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</si>
  <si>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</si>
  <si>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</si>
  <si>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</si>
  <si>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</si>
  <si>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</si>
  <si>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</si>
  <si>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</si>
  <si>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</si>
  <si>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</si>
  <si>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</si>
  <si>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</si>
  <si>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</si>
  <si>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</si>
  <si>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</si>
  <si>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</si>
  <si>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</si>
  <si>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</si>
  <si>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</si>
  <si>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</si>
  <si>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</si>
  <si>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</si>
  <si>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</si>
  <si>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</si>
  <si>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</si>
  <si>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</si>
  <si>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</si>
  <si>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</si>
  <si>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</si>
  <si>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</si>
  <si>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</si>
  <si>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</si>
  <si>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</si>
  <si>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</si>
  <si>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</si>
  <si>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</si>
  <si>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</si>
  <si>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</si>
  <si>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</si>
  <si>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</si>
  <si>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</si>
  <si>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</si>
  <si>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</si>
  <si>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</si>
  <si>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</si>
  <si>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</si>
  <si>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</si>
  <si>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</si>
  <si>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</si>
  <si>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</si>
  <si>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</si>
  <si>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</si>
  <si>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</si>
  <si>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</si>
  <si>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</si>
  <si>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</si>
  <si>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</si>
  <si>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</si>
  <si>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</si>
  <si>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</si>
  <si>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</si>
  <si>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</si>
  <si>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</si>
  <si>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</si>
  <si>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</si>
  <si>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</si>
  <si>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</si>
  <si>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</si>
  <si>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</si>
  <si>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</si>
  <si>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</si>
  <si>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</si>
  <si>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</si>
  <si>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</si>
  <si>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</si>
  <si>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</si>
  <si>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</si>
  <si>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</si>
  <si>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</si>
  <si>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</si>
  <si>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</si>
  <si>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</si>
  <si>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</si>
  <si>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</si>
  <si>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</si>
  <si>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</si>
  <si>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</si>
  <si>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</si>
  <si>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</si>
  <si>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</si>
  <si>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</si>
  <si>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</si>
  <si>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</si>
  <si>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</si>
  <si>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</si>
  <si>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</si>
  <si>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</si>
  <si>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</si>
  <si>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</si>
  <si>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</si>
  <si>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</si>
  <si>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</si>
  <si>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</si>
  <si>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</si>
  <si>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</si>
  <si>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</si>
  <si>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</si>
  <si>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</si>
  <si>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</si>
  <si>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</si>
  <si>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</si>
  <si>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</si>
  <si>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</si>
  <si>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</si>
  <si>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</si>
  <si>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</si>
  <si>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</si>
  <si>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</si>
  <si>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</si>
  <si>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</si>
  <si>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</si>
  <si>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</si>
  <si>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</si>
  <si>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</si>
  <si>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</si>
  <si>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</si>
  <si>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</si>
  <si>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</si>
  <si>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</si>
  <si>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</si>
  <si>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</si>
  <si>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</si>
  <si>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</si>
  <si>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</si>
  <si>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</si>
  <si>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</si>
  <si>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</si>
  <si>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</si>
  <si>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</si>
  <si>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</si>
  <si>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</si>
  <si>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</si>
  <si>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</si>
  <si>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</si>
  <si>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</si>
  <si>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</si>
  <si>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</si>
  <si>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</si>
  <si>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</si>
  <si>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</si>
  <si>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</si>
  <si>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</si>
  <si>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</si>
  <si>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</si>
  <si>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</si>
  <si>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</si>
  <si>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</si>
  <si>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</si>
  <si>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</si>
  <si>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</si>
  <si>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</si>
  <si>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</si>
  <si>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</si>
  <si>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</si>
  <si>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</si>
  <si>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</si>
  <si>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</si>
  <si>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</si>
  <si>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</si>
  <si>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</si>
  <si>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</si>
  <si>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</si>
  <si>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</si>
  <si>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</si>
  <si>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</si>
  <si>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</si>
  <si>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</si>
  <si>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</si>
  <si>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</si>
  <si>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</si>
  <si>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</si>
  <si>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</si>
  <si>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</si>
  <si>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</si>
  <si>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</si>
  <si>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</si>
  <si>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</si>
  <si>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</si>
  <si>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</si>
  <si>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</si>
  <si>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</si>
  <si>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</si>
  <si>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</si>
  <si>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</si>
  <si>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</si>
  <si>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</si>
  <si>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</si>
  <si>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</si>
  <si>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</si>
  <si>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</si>
  <si>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</si>
  <si>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</si>
  <si>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</si>
  <si>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</si>
  <si>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</si>
  <si>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</si>
  <si>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</si>
  <si>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</si>
  <si>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</si>
  <si>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</si>
  <si>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</si>
  <si>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</si>
  <si>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</si>
  <si>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</si>
  <si>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</si>
  <si>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</si>
  <si>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</si>
  <si>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</si>
  <si>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</si>
  <si>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</si>
  <si>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</si>
  <si>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</si>
  <si>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</si>
  <si>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</si>
  <si>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</si>
  <si>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</si>
  <si>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</si>
  <si>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</si>
  <si>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</si>
  <si>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</si>
  <si>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</si>
  <si>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</si>
  <si>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</si>
  <si>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</si>
  <si>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</si>
  <si>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</si>
  <si>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</si>
  <si>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</si>
  <si>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</si>
  <si>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</si>
  <si>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</si>
  <si>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</si>
  <si>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</si>
  <si>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</si>
  <si>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</si>
  <si>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</si>
  <si>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</si>
  <si>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</si>
  <si>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</si>
  <si>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</si>
  <si>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</si>
  <si>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</si>
  <si>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</si>
  <si>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</si>
  <si>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</si>
  <si>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</si>
  <si>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</si>
  <si>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</si>
  <si>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</si>
  <si>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</si>
  <si>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</si>
  <si>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</si>
  <si>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</si>
  <si>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</si>
  <si>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</si>
  <si>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</si>
  <si>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</si>
  <si>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</si>
  <si>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</si>
  <si>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</si>
  <si>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</si>
  <si>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</si>
  <si>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</si>
  <si>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</si>
  <si>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</si>
  <si>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</si>
  <si>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</si>
  <si>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</si>
  <si>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</si>
  <si>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</si>
  <si>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</si>
  <si>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</si>
  <si>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</si>
  <si>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</si>
  <si>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</si>
  <si>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</si>
  <si>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</si>
  <si>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</si>
  <si>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</si>
  <si>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</si>
  <si>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</si>
  <si>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</si>
  <si>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</si>
  <si>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</si>
  <si>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</si>
  <si>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</si>
  <si>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</si>
  <si>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</si>
  <si>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</si>
  <si>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</si>
  <si>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</si>
  <si>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</si>
  <si>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</si>
  <si>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</si>
  <si>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</si>
  <si>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</si>
  <si>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</si>
  <si>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</si>
  <si>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</si>
  <si>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</si>
  <si>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</si>
  <si>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</si>
  <si>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</si>
  <si>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</si>
  <si>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</si>
  <si>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</si>
  <si>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</si>
  <si>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</si>
  <si>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</si>
  <si>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</si>
  <si>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</si>
  <si>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</si>
  <si>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</si>
  <si>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</si>
  <si>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</si>
  <si>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</si>
  <si>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</si>
  <si>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</si>
  <si>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</si>
  <si>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</si>
  <si>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</si>
  <si>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</si>
  <si>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</si>
  <si>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</si>
  <si>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</si>
  <si>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</si>
  <si>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</si>
  <si>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</si>
  <si>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</si>
  <si>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</si>
  <si>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</si>
  <si>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</si>
  <si>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</si>
  <si>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</si>
  <si>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</si>
  <si>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</si>
  <si>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</si>
  <si>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</si>
  <si>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</si>
  <si>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</si>
  <si>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</si>
  <si>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</si>
  <si>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</si>
  <si>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</si>
  <si>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</si>
  <si>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</si>
  <si>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</si>
  <si>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</si>
  <si>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</si>
  <si>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</si>
  <si>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</si>
  <si>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</si>
  <si>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</si>
  <si>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</si>
  <si>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</si>
  <si>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</si>
  <si>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</si>
  <si>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</si>
  <si>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</si>
  <si>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</si>
  <si>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</si>
  <si>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</si>
  <si>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</si>
  <si>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</si>
  <si>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</si>
  <si>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</si>
  <si>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</si>
  <si>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</si>
  <si>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</si>
  <si>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</si>
  <si>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</si>
  <si>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</si>
  <si>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</si>
  <si>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</si>
  <si>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</si>
  <si>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</si>
  <si>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</si>
  <si>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</si>
  <si>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</si>
  <si>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</si>
  <si>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</si>
  <si>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</si>
  <si>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</si>
  <si>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</si>
  <si>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</si>
  <si>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</si>
  <si>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</si>
  <si>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</si>
  <si>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</si>
  <si>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</si>
  <si>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</si>
  <si>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</si>
  <si>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</si>
  <si>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</si>
  <si>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</si>
  <si>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</si>
  <si>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</si>
  <si>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</si>
  <si>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</si>
  <si>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</si>
  <si>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</si>
  <si>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</si>
  <si>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</si>
  <si>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</si>
  <si>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</si>
  <si>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</si>
  <si>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</si>
  <si>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</si>
  <si>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</si>
  <si>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</si>
  <si>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</si>
  <si>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</si>
  <si>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</si>
  <si>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</si>
  <si>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</si>
  <si>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</si>
  <si>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</si>
  <si>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</si>
  <si>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</si>
  <si>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</si>
  <si>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</si>
  <si>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</si>
  <si>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</si>
  <si>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</si>
  <si>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</si>
  <si>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</si>
  <si>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</si>
  <si>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</si>
  <si>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</si>
  <si>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</si>
  <si>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</si>
  <si>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</si>
  <si>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</si>
  <si>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</si>
  <si>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</si>
  <si>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</si>
  <si>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</si>
  <si>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</si>
  <si>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</si>
  <si>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</si>
  <si>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</si>
  <si>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</si>
  <si>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</si>
  <si>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</si>
  <si>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</si>
  <si>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</si>
  <si>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</si>
  <si>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</si>
  <si>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</si>
  <si>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</si>
  <si>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</si>
  <si>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</si>
  <si>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</si>
  <si>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</si>
  <si>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</si>
  <si>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</si>
  <si>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</si>
  <si>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</si>
  <si>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</si>
  <si>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</si>
  <si>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</si>
  <si>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</si>
  <si>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</si>
  <si>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</si>
  <si>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</si>
  <si>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</si>
  <si>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</si>
  <si>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</si>
  <si>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</si>
  <si>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</si>
  <si>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</si>
  <si>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</si>
  <si>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</si>
  <si>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</si>
  <si>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</si>
  <si>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</si>
  <si>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</si>
  <si>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</si>
  <si>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</si>
  <si>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</si>
  <si>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</si>
  <si>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</si>
  <si>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</si>
  <si>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</si>
  <si>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</si>
  <si>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</si>
  <si>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</si>
  <si>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</si>
  <si>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</si>
  <si>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</si>
  <si>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</si>
  <si>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</si>
  <si>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</si>
  <si>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</si>
  <si>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</si>
  <si>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</si>
  <si>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</si>
  <si>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</si>
  <si>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</si>
  <si>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</si>
  <si>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</si>
  <si>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</si>
  <si>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</si>
  <si>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</si>
  <si>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</si>
  <si>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</si>
  <si>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</si>
  <si>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</si>
  <si>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</si>
  <si>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</si>
  <si>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</si>
  <si>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</si>
  <si>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</si>
  <si>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</si>
  <si>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</si>
  <si>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</si>
  <si>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</si>
  <si>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</si>
  <si>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</si>
  <si>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</si>
  <si>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</si>
  <si>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</si>
  <si>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</si>
  <si>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</si>
  <si>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</si>
  <si>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</si>
  <si>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</si>
  <si>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</si>
  <si>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</si>
  <si>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</si>
  <si>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</si>
  <si>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</si>
  <si>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</si>
  <si>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</si>
  <si>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</si>
  <si>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</si>
  <si>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</si>
  <si>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</si>
  <si>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</si>
  <si>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</si>
  <si>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</si>
  <si>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</si>
  <si>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</si>
  <si>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</si>
  <si>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</si>
  <si>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</si>
  <si>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</si>
  <si>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</si>
  <si>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</si>
  <si>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</si>
  <si>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</si>
  <si>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</si>
  <si>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</si>
  <si>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</si>
  <si>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</si>
  <si>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</si>
  <si>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</si>
  <si>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</si>
  <si>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</si>
  <si>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</si>
  <si>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</si>
  <si>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</si>
  <si>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</si>
  <si>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</si>
  <si>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</si>
  <si>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</si>
  <si>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</si>
  <si>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</si>
  <si>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</si>
  <si>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</si>
  <si>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</si>
  <si>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</si>
  <si>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</si>
  <si>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</si>
  <si>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</si>
  <si>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</si>
  <si>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</si>
  <si>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</si>
  <si>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</si>
  <si>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</si>
  <si>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</si>
  <si>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</si>
  <si>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</si>
  <si>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</si>
  <si>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</si>
  <si>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</si>
  <si>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</si>
  <si>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</si>
  <si>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</si>
  <si>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</si>
  <si>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</si>
  <si>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</si>
  <si>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</si>
  <si>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</si>
  <si>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</si>
  <si>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</si>
  <si>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</si>
  <si>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</si>
  <si>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</si>
  <si>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</si>
  <si>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</si>
  <si>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</si>
  <si>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</si>
  <si>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</si>
  <si>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</si>
  <si>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</si>
  <si>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</si>
  <si>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</si>
  <si>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</si>
  <si>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</si>
  <si>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</si>
  <si>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</si>
  <si>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</si>
  <si>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</si>
  <si>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</si>
  <si>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</si>
  <si>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</si>
  <si>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</si>
  <si>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</si>
  <si>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</si>
  <si>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</si>
  <si>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</si>
  <si>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</si>
  <si>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</si>
  <si>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</si>
  <si>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</si>
  <si>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</si>
  <si>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</si>
  <si>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</si>
  <si>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</si>
  <si>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</si>
  <si>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</si>
  <si>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</si>
  <si>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</si>
  <si>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</si>
  <si>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</si>
  <si>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</si>
  <si>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</si>
  <si>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</si>
  <si>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</si>
  <si>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</si>
  <si>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</si>
  <si>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</si>
  <si>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</si>
  <si>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</si>
  <si>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</si>
  <si>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</si>
  <si>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</si>
  <si>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</si>
  <si>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</si>
  <si>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</si>
  <si>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</si>
  <si>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</si>
  <si>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</si>
  <si>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</si>
  <si>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</si>
  <si>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</si>
  <si>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</si>
  <si>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</si>
  <si>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</si>
  <si>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</si>
  <si>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</si>
  <si>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</si>
  <si>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</si>
  <si>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</si>
  <si>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</si>
  <si>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</si>
  <si>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</si>
  <si>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</si>
  <si>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</si>
  <si>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</si>
  <si>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</si>
  <si>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Công khai NSNN</t>
  </si>
  <si>
    <t>Số biểu</t>
  </si>
  <si>
    <t>Biểu 33-CK-NSNN</t>
  </si>
  <si>
    <t>Dự toán trình HĐND</t>
  </si>
  <si>
    <t>Biểu 34-CK-NSNN</t>
  </si>
  <si>
    <t>Biểu 35-CK-NSNN</t>
  </si>
  <si>
    <t>Biểu 36-CK-NSNN</t>
  </si>
  <si>
    <t>Biểu 37-CK-NSNN</t>
  </si>
  <si>
    <t>Biểu 38-CK-NSNN</t>
  </si>
  <si>
    <t>Biểu 39-CK-NSNN</t>
  </si>
  <si>
    <t>Biểu 40-CK-NSNN</t>
  </si>
  <si>
    <t>Biểu 41-CK-NSNN</t>
  </si>
  <si>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</si>
  <si>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</si>
  <si>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</si>
  <si>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</si>
  <si>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</si>
  <si>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</si>
  <si>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</si>
  <si>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</si>
  <si>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</si>
  <si>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</si>
  <si>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</si>
  <si>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</si>
  <si>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</si>
  <si>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</si>
  <si>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</si>
  <si>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</si>
  <si>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</si>
  <si>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</si>
  <si>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</si>
  <si>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</si>
  <si>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</si>
  <si>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</si>
  <si>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</si>
  <si>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</si>
  <si>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</si>
  <si>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</si>
  <si>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</si>
  <si>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</si>
  <si>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</si>
  <si>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</si>
  <si>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</si>
  <si>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</si>
  <si>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</si>
  <si>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</si>
  <si>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</si>
  <si>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</si>
  <si>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</si>
  <si>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</si>
  <si>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</si>
  <si>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</si>
  <si>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</si>
  <si>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</si>
  <si>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</si>
  <si>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</si>
  <si>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</si>
  <si>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</si>
  <si>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</si>
  <si>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</si>
  <si>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</si>
  <si>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</si>
  <si>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</si>
  <si>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</si>
  <si>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</si>
  <si>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</si>
  <si>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</si>
  <si>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</si>
  <si>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</si>
  <si>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</si>
  <si>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</si>
  <si>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</si>
  <si>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</si>
  <si>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</si>
  <si>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</si>
  <si>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</si>
  <si>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</si>
  <si>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</si>
  <si>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</si>
  <si>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</si>
  <si>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</si>
  <si>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</si>
  <si>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</si>
  <si>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</si>
  <si>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</si>
  <si>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</si>
  <si>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</si>
  <si>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</si>
  <si>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</si>
  <si>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</si>
  <si>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</si>
  <si>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</si>
  <si>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</si>
  <si>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</si>
  <si>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</si>
  <si>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</si>
  <si>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</si>
  <si>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</si>
  <si>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</si>
  <si>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</si>
  <si>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</si>
  <si>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</si>
  <si>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</si>
  <si>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</si>
  <si>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</si>
  <si>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</si>
  <si>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</si>
  <si>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</si>
  <si>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</si>
  <si>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</si>
  <si>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</si>
  <si>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</si>
  <si>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</si>
  <si>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</si>
  <si>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</si>
  <si>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</si>
  <si>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</si>
  <si>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</si>
  <si>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</si>
  <si>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</si>
  <si>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</si>
  <si>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</si>
  <si>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</si>
  <si>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</si>
  <si>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</si>
  <si>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</si>
  <si>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</si>
  <si>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</si>
  <si>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</si>
  <si>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</si>
  <si>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</si>
  <si>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</si>
  <si>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</si>
  <si>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</si>
  <si>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</si>
  <si>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</si>
  <si>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</si>
  <si>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</si>
  <si>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</si>
  <si>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</si>
  <si>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</si>
  <si>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</si>
  <si>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</si>
  <si>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</si>
  <si>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</si>
  <si>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</si>
  <si>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</si>
  <si>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</si>
  <si>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</si>
  <si>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</si>
  <si>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</si>
  <si>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</si>
  <si>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</si>
  <si>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</si>
  <si>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</si>
  <si>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</si>
  <si>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</si>
  <si>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</si>
  <si>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</si>
  <si>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</si>
  <si>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</si>
  <si>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</si>
  <si>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</si>
  <si>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</si>
  <si>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</si>
  <si>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</si>
  <si>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</si>
  <si>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</si>
  <si>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</si>
  <si>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</si>
  <si>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</si>
  <si>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</si>
  <si>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</si>
  <si>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</si>
  <si>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</si>
  <si>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</si>
  <si>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</si>
  <si>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</si>
  <si>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</si>
  <si>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</si>
  <si>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</si>
  <si>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</si>
  <si>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</si>
  <si>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</si>
  <si>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</si>
  <si>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</si>
  <si>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</si>
  <si>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</si>
  <si>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</si>
  <si>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</si>
  <si>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</si>
  <si>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</si>
  <si>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</si>
  <si>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</si>
  <si>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</si>
  <si>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</si>
  <si>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</si>
  <si>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</si>
  <si>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</si>
  <si>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</si>
  <si>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</si>
  <si>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</si>
  <si>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</si>
  <si>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</si>
  <si>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</si>
  <si>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</si>
  <si>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</si>
  <si>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</si>
  <si>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</si>
  <si>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</si>
  <si>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</si>
  <si>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</si>
  <si>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</si>
  <si>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</si>
  <si>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</si>
  <si>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</si>
  <si>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</si>
  <si>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</si>
  <si>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</si>
  <si>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</si>
  <si>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</si>
  <si>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</si>
  <si>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</si>
  <si>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</si>
  <si>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</si>
  <si>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</si>
  <si>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</si>
  <si>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</si>
  <si>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</si>
  <si>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</si>
  <si>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</si>
  <si>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</si>
  <si>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</si>
  <si>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</si>
  <si>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</si>
  <si>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</si>
  <si>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</si>
  <si>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</si>
  <si>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</si>
  <si>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</si>
  <si>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</si>
  <si>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</si>
  <si>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</si>
  <si>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</si>
  <si>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</si>
  <si>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</si>
  <si>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</si>
  <si>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</si>
  <si>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</si>
  <si>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</si>
  <si>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</si>
  <si>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</si>
  <si>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</si>
  <si>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</si>
  <si>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</si>
  <si>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</si>
  <si>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</si>
  <si>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</si>
  <si>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</si>
  <si>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</si>
  <si>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</si>
  <si>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</si>
  <si>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</si>
  <si>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</si>
  <si>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</si>
  <si>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</si>
  <si>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</si>
  <si>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</si>
  <si>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</si>
  <si>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</si>
  <si>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</si>
  <si>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</si>
  <si>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</si>
  <si>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</si>
  <si>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</si>
  <si>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</si>
  <si>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</si>
  <si>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</si>
  <si>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</si>
  <si>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</si>
  <si>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</si>
  <si>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</si>
  <si>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</si>
  <si>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</si>
  <si>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</si>
  <si>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</si>
  <si>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</si>
  <si>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</si>
  <si>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</si>
  <si>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</si>
  <si>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</si>
  <si>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</si>
  <si>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</si>
  <si>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</si>
  <si>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</si>
  <si>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</si>
  <si>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</si>
  <si>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</si>
  <si>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</si>
  <si>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</si>
  <si>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</si>
  <si>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</si>
  <si>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</si>
  <si>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</si>
  <si>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</si>
  <si>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</si>
  <si>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</si>
  <si>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</si>
  <si>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</si>
  <si>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</si>
  <si>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</si>
  <si>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</si>
  <si>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</si>
  <si>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</si>
  <si>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</si>
  <si>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</si>
  <si>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</si>
  <si>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</si>
  <si>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</si>
  <si>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</si>
  <si>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</si>
  <si>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</si>
  <si>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</si>
  <si>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</si>
  <si>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</si>
  <si>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</si>
  <si>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</si>
  <si>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</si>
  <si>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</si>
  <si>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</si>
  <si>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</si>
  <si>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</si>
  <si>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</si>
  <si>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</si>
  <si>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</si>
  <si>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</si>
  <si>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</si>
  <si>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</si>
  <si>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</si>
  <si>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</si>
  <si>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</si>
  <si>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</si>
  <si>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</si>
  <si>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</si>
  <si>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</si>
  <si>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</si>
  <si>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</si>
  <si>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</si>
  <si>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</si>
  <si>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</si>
  <si>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</si>
  <si>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</si>
  <si>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</si>
  <si>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</si>
  <si>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</si>
  <si>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</si>
  <si>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</si>
  <si>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</si>
  <si>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</si>
  <si>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</si>
  <si>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</si>
  <si>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</si>
  <si>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</si>
  <si>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</si>
  <si>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</si>
  <si>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</si>
  <si>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</si>
  <si>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</si>
  <si>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</si>
  <si>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</si>
  <si>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</si>
  <si>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</si>
  <si>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</si>
  <si>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</si>
  <si>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</si>
  <si>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</si>
  <si>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</si>
  <si>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</si>
  <si>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</si>
  <si>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</si>
  <si>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</si>
  <si>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</si>
  <si>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</si>
  <si>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</si>
  <si>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</si>
  <si>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</si>
  <si>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</si>
  <si>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</si>
  <si>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</si>
  <si>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</si>
  <si>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</si>
  <si>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</si>
  <si>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</si>
  <si>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</si>
  <si>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</si>
  <si>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</si>
  <si>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</si>
  <si>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</si>
  <si>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</si>
  <si>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</si>
  <si>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</si>
  <si>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</si>
  <si>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</si>
  <si>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</si>
  <si>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</si>
  <si>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</si>
  <si>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</si>
  <si>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</si>
  <si>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</si>
  <si>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</si>
  <si>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</si>
  <si>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</si>
  <si>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</si>
  <si>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</si>
  <si>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</si>
  <si>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</si>
  <si>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</si>
  <si>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</si>
  <si>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</si>
  <si>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</si>
  <si>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</si>
  <si>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</si>
  <si>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</si>
  <si>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</si>
  <si>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</si>
  <si>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</si>
  <si>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</si>
  <si>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</si>
  <si>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</si>
  <si>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</si>
  <si>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</si>
  <si>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</si>
  <si>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</si>
  <si>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</si>
  <si>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</si>
  <si>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</si>
  <si>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</si>
  <si>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</si>
  <si>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</si>
  <si>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</si>
  <si>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</si>
  <si>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</si>
  <si>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</si>
  <si>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</si>
  <si>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</si>
  <si>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</si>
  <si>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</si>
  <si>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</si>
  <si>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</si>
  <si>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</si>
  <si>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</si>
  <si>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</si>
  <si>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</si>
  <si>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</si>
  <si>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</si>
  <si>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</si>
  <si>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</si>
  <si>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</si>
  <si>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</si>
  <si>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</si>
  <si>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</si>
  <si>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</si>
  <si>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</si>
  <si>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</si>
  <si>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</si>
  <si>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</si>
  <si>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</si>
  <si>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</si>
  <si>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</si>
  <si>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</si>
  <si>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</si>
  <si>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</si>
  <si>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</si>
  <si>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</si>
  <si>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</si>
  <si>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</si>
  <si>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</si>
  <si>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</si>
  <si>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</si>
  <si>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</si>
  <si>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</si>
  <si>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</si>
  <si>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</si>
  <si>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</si>
  <si>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</si>
  <si>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</si>
  <si>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</si>
  <si>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</si>
  <si>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</si>
  <si>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</si>
  <si>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</si>
  <si>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</si>
  <si>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</si>
  <si>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</si>
  <si>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</si>
  <si>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</si>
  <si>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</si>
  <si>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</si>
  <si>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</si>
  <si>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</si>
  <si>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</si>
  <si>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</si>
  <si>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</si>
  <si>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</si>
  <si>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</si>
  <si>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</si>
  <si>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</si>
  <si>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</si>
  <si>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</si>
  <si>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</si>
  <si>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</si>
  <si>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</si>
  <si>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</si>
  <si>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</si>
  <si>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</si>
  <si>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</si>
  <si>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</si>
  <si>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</si>
  <si>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</si>
  <si>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</si>
  <si>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</si>
  <si>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</si>
  <si>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</si>
  <si>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</si>
  <si>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</si>
  <si>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</si>
  <si>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</si>
  <si>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</si>
  <si>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</si>
  <si>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</si>
  <si>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</si>
  <si>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</si>
  <si>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</si>
  <si>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</si>
  <si>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</si>
  <si>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</si>
  <si>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</si>
  <si>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</si>
  <si>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</si>
  <si>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</si>
  <si>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</si>
  <si>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</si>
  <si>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</si>
  <si>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</si>
  <si>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</si>
  <si>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</si>
  <si>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</si>
  <si>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</si>
  <si>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</si>
  <si>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</si>
  <si>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</si>
  <si>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</si>
  <si>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</si>
  <si>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</si>
  <si>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</si>
  <si>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</si>
  <si>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</si>
  <si>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</si>
  <si>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</si>
  <si>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</si>
  <si>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</si>
  <si>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</si>
  <si>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</si>
  <si>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</si>
  <si>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</si>
  <si>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</si>
  <si>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</si>
  <si>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</si>
  <si>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</si>
  <si>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</si>
  <si>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</si>
  <si>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</si>
  <si>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</si>
  <si>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</si>
  <si>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</si>
  <si>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</si>
  <si>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</si>
  <si>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</si>
  <si>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</si>
  <si>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</si>
  <si>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</si>
  <si>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</si>
  <si>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</si>
  <si>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</si>
  <si>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</si>
  <si>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</si>
  <si>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</si>
  <si>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</si>
  <si>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</si>
  <si>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</si>
  <si>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</si>
  <si>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</si>
  <si>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</si>
  <si>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</si>
  <si>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</si>
  <si>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</si>
  <si>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</si>
  <si>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</si>
  <si>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</si>
  <si>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</si>
  <si>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</si>
  <si>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</si>
  <si>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</si>
  <si>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</si>
  <si>
    <t>(Kèm theo Quyết định số  1230 /QĐ-UBND-HC ngày 19/12/2024 của Uỷ ban nhân dân tỉnh Đồng Tháp)</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</si>
</sst>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7">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796">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219" fontId="121" fillId="0" borderId="60" xfId="0" applyNumberFormat="1" applyFont="1" applyBorder="1" applyAlignment="1">
      <alignment vertical="center"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38" fontId="120" fillId="0" borderId="0" xfId="0" applyNumberFormat="1" applyFont="1" applyAlignment="1">
      <alignment vertical="center"/>
    </xf>
    <xf numFmtId="0" fontId="127" fillId="0" borderId="0" xfId="2" applyFont="1"/>
    <xf numFmtId="0" fontId="4" fillId="0" borderId="60" xfId="0" applyFont="1" applyBorder="1" applyAlignment="1">
      <alignment horizontal="center" vertical="center" wrapText="1"/>
    </xf>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4" fontId="120" fillId="0" borderId="11" xfId="352" applyNumberFormat="1" applyFont="1" applyBorder="1" applyAlignment="1">
      <alignment horizontal="center" vertical="center" wrapText="1" shrinkToFit="1"/>
    </xf>
    <xf numFmtId="4" fontId="120" fillId="0" borderId="60" xfId="0" applyNumberFormat="1" applyFont="1" applyBorder="1" applyAlignment="1">
      <alignment horizontal="center" vertical="center" wrapText="1" shrinkToFit="1"/>
    </xf>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 fillId="0" borderId="17" xfId="0" applyFont="1" applyBorder="1" applyAlignment="1">
      <alignment horizontal="center"/>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 Id="rId138" Type="http://schemas.openxmlformats.org/officeDocument/2006/relationships/externalLink" Target="externalLinks/externalLink8.xml"/><Relationship Id="rId154" Type="http://schemas.openxmlformats.org/officeDocument/2006/relationships/externalLink" Target="externalLinks/externalLink24.xml"/><Relationship Id="rId159" Type="http://schemas.openxmlformats.org/officeDocument/2006/relationships/externalLink" Target="externalLinks/externalLink29.xml"/><Relationship Id="rId170" Type="http://schemas.openxmlformats.org/officeDocument/2006/relationships/styles" Target="style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4.xml"/><Relationship Id="rId149" Type="http://schemas.openxmlformats.org/officeDocument/2006/relationships/externalLink" Target="externalLinks/externalLink1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0.xml"/><Relationship Id="rId165" Type="http://schemas.openxmlformats.org/officeDocument/2006/relationships/externalLink" Target="externalLinks/externalLink3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4.xml"/><Relationship Id="rId139" Type="http://schemas.openxmlformats.org/officeDocument/2006/relationships/externalLink" Target="externalLinks/externalLink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0.xml"/><Relationship Id="rId155" Type="http://schemas.openxmlformats.org/officeDocument/2006/relationships/externalLink" Target="externalLinks/externalLink25.xml"/><Relationship Id="rId171" Type="http://schemas.openxmlformats.org/officeDocument/2006/relationships/sharedStrings" Target="sharedStrings.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0.xml"/><Relationship Id="rId145" Type="http://schemas.openxmlformats.org/officeDocument/2006/relationships/externalLink" Target="externalLinks/externalLink15.xml"/><Relationship Id="rId161" Type="http://schemas.openxmlformats.org/officeDocument/2006/relationships/externalLink" Target="externalLinks/externalLink31.xml"/><Relationship Id="rId166"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externalLink" Target="externalLinks/externalLink5.xml"/><Relationship Id="rId143" Type="http://schemas.openxmlformats.org/officeDocument/2006/relationships/externalLink" Target="externalLinks/externalLink13.xml"/><Relationship Id="rId148" Type="http://schemas.openxmlformats.org/officeDocument/2006/relationships/externalLink" Target="externalLinks/externalLink18.xml"/><Relationship Id="rId151" Type="http://schemas.openxmlformats.org/officeDocument/2006/relationships/externalLink" Target="externalLinks/externalLink21.xml"/><Relationship Id="rId156" Type="http://schemas.openxmlformats.org/officeDocument/2006/relationships/externalLink" Target="externalLinks/externalLink26.xml"/><Relationship Id="rId164" Type="http://schemas.openxmlformats.org/officeDocument/2006/relationships/externalLink" Target="externalLinks/externalLink34.xml"/><Relationship Id="rId169" Type="http://schemas.openxmlformats.org/officeDocument/2006/relationships/theme" Target="theme/theme1.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heetMetadata" Target="metadata.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1.xml"/><Relationship Id="rId146" Type="http://schemas.openxmlformats.org/officeDocument/2006/relationships/externalLink" Target="externalLinks/externalLink16.xml"/><Relationship Id="rId167"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externalLink" Target="externalLinks/externalLink6.xml"/><Relationship Id="rId157" Type="http://schemas.openxmlformats.org/officeDocument/2006/relationships/externalLink" Target="externalLinks/externalLink2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2.xml"/><Relationship Id="rId17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7.xml"/><Relationship Id="rId16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2.xml"/><Relationship Id="rId163" Type="http://schemas.openxmlformats.org/officeDocument/2006/relationships/externalLink" Target="externalLinks/externalLink3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7.xml"/><Relationship Id="rId158"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xml"/><Relationship Id="rId153" Type="http://schemas.openxmlformats.org/officeDocument/2006/relationships/externalLink" Target="externalLinks/externalLink23.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T49">
            <v>150745.51999999999</v>
          </cell>
          <cell r="V49">
            <v>150745.51999999999</v>
          </cell>
          <cell r="AE49">
            <v>200000</v>
          </cell>
          <cell r="AG49">
            <v>200000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9.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6.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77.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79.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81.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3.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4.bin"/><Relationship Id="rId4" Type="http://schemas.microsoft.com/office/2017/10/relationships/threadedComment" Target="../threadedComments/threadedComment1.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8.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97.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47" t="s">
        <v>941</v>
      </c>
      <c r="B1" s="6047"/>
      <c r="C1" s="6047"/>
      <c r="D1" s="6047"/>
      <c r="E1" s="6047"/>
      <c r="F1" s="6047"/>
      <c r="G1" s="6047"/>
      <c r="H1" s="6047"/>
      <c r="I1" s="6047"/>
      <c r="J1" s="6047"/>
      <c r="K1" s="6047"/>
      <c r="L1" s="382"/>
      <c r="M1" s="382"/>
      <c r="N1" s="382"/>
      <c r="O1" s="382"/>
      <c r="P1" s="382"/>
      <c r="Q1" s="382"/>
      <c r="R1" s="382"/>
      <c r="S1" s="382"/>
      <c r="T1" s="382"/>
      <c r="U1" s="382"/>
      <c r="V1" s="382"/>
      <c r="W1" s="382"/>
    </row>
    <row r="2" spans="1:48">
      <c r="A2" s="382"/>
      <c r="B2" s="382"/>
      <c r="C2" s="382"/>
      <c r="Y2" s="381">
        <v>82290</v>
      </c>
      <c r="AA2" s="6045" t="s">
        <v>478</v>
      </c>
      <c r="AB2" s="6045"/>
      <c r="AC2" s="6045"/>
      <c r="AD2" s="6045"/>
      <c r="AE2" s="6045"/>
      <c r="AF2" s="6045"/>
      <c r="AG2" s="6045"/>
      <c r="AH2" s="6045"/>
      <c r="AI2" s="6045"/>
      <c r="AJ2" s="6045"/>
      <c r="AK2" s="6045"/>
      <c r="AL2" s="6045"/>
      <c r="AM2" s="6045"/>
      <c r="AN2" s="6045"/>
      <c r="AO2" s="6045"/>
      <c r="AP2" s="6045"/>
      <c r="AQ2" s="6045"/>
      <c r="AR2" s="6045"/>
    </row>
    <row r="3" spans="1:48" ht="36.75" customHeight="1">
      <c r="A3" s="6050" t="s">
        <v>247</v>
      </c>
      <c r="B3" s="6046" t="s">
        <v>137</v>
      </c>
      <c r="C3" s="6046" t="s">
        <v>479</v>
      </c>
      <c r="D3" s="6046" t="s">
        <v>480</v>
      </c>
      <c r="E3" s="6046" t="s">
        <v>481</v>
      </c>
      <c r="F3" s="6046"/>
      <c r="G3" s="6046"/>
      <c r="H3" s="6046"/>
      <c r="I3" s="6046"/>
      <c r="J3" s="6046"/>
      <c r="K3" s="6046" t="s">
        <v>483</v>
      </c>
      <c r="L3" s="431"/>
      <c r="M3" s="431"/>
      <c r="N3" s="431"/>
      <c r="O3" s="431"/>
      <c r="P3" s="431"/>
      <c r="Q3" s="431"/>
      <c r="R3" s="431"/>
      <c r="S3" s="431"/>
      <c r="T3" s="431"/>
      <c r="U3" s="431"/>
      <c r="V3" s="431"/>
      <c r="W3" s="431"/>
      <c r="Y3" s="6043" t="s">
        <v>484</v>
      </c>
      <c r="Z3" s="6044"/>
      <c r="AA3" s="6048" t="s">
        <v>322</v>
      </c>
      <c r="AB3" s="6049"/>
      <c r="AC3" s="6048" t="s">
        <v>323</v>
      </c>
      <c r="AD3" s="6049"/>
      <c r="AE3" s="6048" t="s">
        <v>324</v>
      </c>
      <c r="AF3" s="6049"/>
      <c r="AG3" s="6041" t="s">
        <v>290</v>
      </c>
      <c r="AH3" s="6042"/>
      <c r="AI3" s="6041" t="s">
        <v>411</v>
      </c>
      <c r="AJ3" s="6042"/>
      <c r="AK3" s="6041" t="s">
        <v>491</v>
      </c>
      <c r="AL3" s="6042"/>
      <c r="AM3" s="6041" t="s">
        <v>412</v>
      </c>
      <c r="AN3" s="6042"/>
      <c r="AO3" s="6041" t="s">
        <v>487</v>
      </c>
      <c r="AP3" s="6042"/>
      <c r="AQ3" s="6041" t="s">
        <v>488</v>
      </c>
      <c r="AR3" s="6042"/>
      <c r="AS3" s="6041" t="s">
        <v>489</v>
      </c>
      <c r="AT3" s="6042"/>
      <c r="AU3" s="6041" t="s">
        <v>490</v>
      </c>
      <c r="AV3" s="6042"/>
    </row>
    <row r="4" spans="1:48" ht="52.2">
      <c r="A4" s="6050"/>
      <c r="B4" s="6046"/>
      <c r="C4" s="6046"/>
      <c r="D4" s="6046"/>
      <c r="E4" s="430" t="s">
        <v>482</v>
      </c>
      <c r="F4" s="430" t="s">
        <v>85</v>
      </c>
      <c r="G4" s="430" t="s">
        <v>86</v>
      </c>
      <c r="H4" s="430" t="s">
        <v>87</v>
      </c>
      <c r="I4" s="430" t="s">
        <v>88</v>
      </c>
      <c r="J4" s="430" t="s">
        <v>89</v>
      </c>
      <c r="K4" s="6046"/>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143"/>
      <c r="M1" s="6143"/>
      <c r="N1" s="1189"/>
      <c r="U1" s="6140"/>
      <c r="V1" s="6140"/>
      <c r="W1" s="6143" t="s">
        <v>1186</v>
      </c>
      <c r="X1" s="6143"/>
    </row>
    <row r="2" spans="1:25">
      <c r="A2" s="1189"/>
      <c r="B2" s="1189"/>
      <c r="C2" s="1189"/>
      <c r="L2" s="1409"/>
      <c r="M2" s="1409"/>
      <c r="N2" s="1189"/>
      <c r="U2" s="1410"/>
      <c r="V2" s="1410"/>
      <c r="W2" s="1409"/>
      <c r="X2" s="1409"/>
    </row>
    <row r="3" spans="1:25">
      <c r="A3" s="6135" t="s">
        <v>1187</v>
      </c>
      <c r="B3" s="6135"/>
      <c r="C3" s="6135"/>
      <c r="D3" s="6135"/>
      <c r="E3" s="6135"/>
      <c r="F3" s="6135"/>
      <c r="G3" s="6135"/>
      <c r="H3" s="6135"/>
      <c r="I3" s="6135"/>
      <c r="J3" s="6135"/>
      <c r="K3" s="6135"/>
      <c r="L3" s="6135"/>
      <c r="M3" s="6135"/>
      <c r="N3" s="6135"/>
      <c r="O3" s="6135"/>
      <c r="P3" s="6135"/>
      <c r="Q3" s="6135"/>
      <c r="R3" s="6135"/>
      <c r="S3" s="6135"/>
      <c r="T3" s="6135"/>
      <c r="U3" s="6135"/>
      <c r="V3" s="6135"/>
      <c r="W3" s="6135"/>
      <c r="X3" s="6135"/>
    </row>
    <row r="4" spans="1:25">
      <c r="A4" s="6135"/>
      <c r="B4" s="6135"/>
      <c r="C4" s="6135"/>
      <c r="D4" s="6135"/>
      <c r="E4" s="6135"/>
      <c r="F4" s="6135"/>
      <c r="G4" s="6135"/>
      <c r="H4" s="6135"/>
      <c r="I4" s="6135"/>
      <c r="J4" s="6135"/>
      <c r="K4" s="6135"/>
      <c r="L4" s="6135"/>
      <c r="M4" s="6135"/>
      <c r="N4" s="6135"/>
      <c r="O4" s="6135"/>
      <c r="P4" s="6135"/>
      <c r="Q4" s="6135"/>
      <c r="R4" s="6135"/>
      <c r="S4" s="6135"/>
      <c r="T4" s="6135"/>
      <c r="U4" s="6135"/>
      <c r="V4" s="6135"/>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142" t="s">
        <v>1121</v>
      </c>
      <c r="U5" s="6142"/>
      <c r="V5" s="6142"/>
      <c r="W5" s="1382"/>
      <c r="X5" s="1382"/>
    </row>
    <row r="6" spans="1:25">
      <c r="A6" s="6075" t="s">
        <v>200</v>
      </c>
      <c r="B6" s="6134" t="s">
        <v>1188</v>
      </c>
      <c r="C6" s="6138" t="s">
        <v>985</v>
      </c>
      <c r="D6" s="6138"/>
      <c r="E6" s="6138"/>
      <c r="F6" s="6138"/>
      <c r="G6" s="6138"/>
      <c r="H6" s="6138"/>
      <c r="I6" s="6138"/>
      <c r="J6" s="6138"/>
      <c r="K6" s="6138"/>
      <c r="L6" s="6138"/>
      <c r="M6" s="6138"/>
      <c r="N6" s="6144" t="s">
        <v>1122</v>
      </c>
      <c r="O6" s="6145"/>
      <c r="P6" s="6145"/>
      <c r="Q6" s="6145"/>
      <c r="R6" s="6145"/>
      <c r="S6" s="6145"/>
      <c r="T6" s="6145"/>
      <c r="U6" s="6145"/>
      <c r="V6" s="6146"/>
      <c r="W6" s="1416"/>
      <c r="X6" s="1416"/>
    </row>
    <row r="7" spans="1:25" ht="50.25" customHeight="1">
      <c r="A7" s="6075"/>
      <c r="B7" s="6134"/>
      <c r="C7" s="6134" t="s">
        <v>1199</v>
      </c>
      <c r="D7" s="6134"/>
      <c r="E7" s="6134"/>
      <c r="F7" s="6134"/>
      <c r="G7" s="6134" t="s">
        <v>1167</v>
      </c>
      <c r="H7" s="6134"/>
      <c r="I7" s="6134"/>
      <c r="J7" s="6134"/>
      <c r="K7" s="6134" t="s">
        <v>1124</v>
      </c>
      <c r="L7" s="6134" t="s">
        <v>996</v>
      </c>
      <c r="M7" s="6134" t="s">
        <v>1125</v>
      </c>
      <c r="N7" s="6134" t="s">
        <v>1126</v>
      </c>
      <c r="O7" s="6134"/>
      <c r="P7" s="6134"/>
      <c r="Q7" s="6134"/>
      <c r="R7" s="6134" t="s">
        <v>1127</v>
      </c>
      <c r="S7" s="6134"/>
      <c r="T7" s="6134"/>
      <c r="U7" s="6134"/>
      <c r="V7" s="6134" t="s">
        <v>1124</v>
      </c>
      <c r="W7" s="6134" t="s">
        <v>1165</v>
      </c>
      <c r="X7" s="6134" t="s">
        <v>1125</v>
      </c>
    </row>
    <row r="8" spans="1:25">
      <c r="A8" s="6075"/>
      <c r="B8" s="6134"/>
      <c r="C8" s="6134" t="s">
        <v>987</v>
      </c>
      <c r="D8" s="6134" t="s">
        <v>1189</v>
      </c>
      <c r="E8" s="6134"/>
      <c r="F8" s="6134"/>
      <c r="G8" s="6134" t="s">
        <v>987</v>
      </c>
      <c r="H8" s="6134" t="s">
        <v>1189</v>
      </c>
      <c r="I8" s="6134"/>
      <c r="J8" s="6134"/>
      <c r="K8" s="6134"/>
      <c r="L8" s="6134"/>
      <c r="M8" s="6134"/>
      <c r="N8" s="6134" t="s">
        <v>987</v>
      </c>
      <c r="O8" s="6134" t="s">
        <v>1189</v>
      </c>
      <c r="P8" s="6134"/>
      <c r="Q8" s="6134"/>
      <c r="R8" s="6134" t="s">
        <v>987</v>
      </c>
      <c r="S8" s="6134" t="s">
        <v>1189</v>
      </c>
      <c r="T8" s="6134"/>
      <c r="U8" s="6134"/>
      <c r="V8" s="6134"/>
      <c r="W8" s="6134"/>
      <c r="X8" s="6134"/>
    </row>
    <row r="9" spans="1:25" ht="120.75" customHeight="1">
      <c r="A9" s="6075"/>
      <c r="B9" s="6134"/>
      <c r="C9" s="6134"/>
      <c r="D9" s="1383" t="s">
        <v>387</v>
      </c>
      <c r="E9" s="1383" t="s">
        <v>1190</v>
      </c>
      <c r="F9" s="1383" t="s">
        <v>1191</v>
      </c>
      <c r="G9" s="6134"/>
      <c r="H9" s="1383" t="s">
        <v>387</v>
      </c>
      <c r="I9" s="1383" t="s">
        <v>1192</v>
      </c>
      <c r="J9" s="1383" t="s">
        <v>1193</v>
      </c>
      <c r="K9" s="6134"/>
      <c r="L9" s="6134"/>
      <c r="M9" s="6134"/>
      <c r="N9" s="6134"/>
      <c r="O9" s="1383" t="s">
        <v>387</v>
      </c>
      <c r="P9" s="1383" t="s">
        <v>1190</v>
      </c>
      <c r="Q9" s="1383" t="s">
        <v>1191</v>
      </c>
      <c r="R9" s="6134"/>
      <c r="S9" s="1383" t="s">
        <v>387</v>
      </c>
      <c r="T9" s="1383" t="s">
        <v>1192</v>
      </c>
      <c r="U9" s="1383" t="s">
        <v>1193</v>
      </c>
      <c r="V9" s="6134"/>
      <c r="W9" s="6134"/>
      <c r="X9" s="6134"/>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30"/>
      <c r="J28" s="6130"/>
      <c r="K28" s="6130"/>
      <c r="L28" s="6130"/>
      <c r="M28" s="6130"/>
      <c r="T28" s="6130"/>
      <c r="U28" s="6130"/>
      <c r="V28" s="6130"/>
      <c r="W28" s="6130"/>
      <c r="X28" s="6130"/>
    </row>
    <row r="29" spans="1:25">
      <c r="B29" s="1192" t="s">
        <v>1197</v>
      </c>
      <c r="I29" s="6123"/>
      <c r="J29" s="6123"/>
      <c r="K29" s="6123"/>
      <c r="L29" s="6123"/>
      <c r="M29" s="6123"/>
      <c r="T29" s="6123"/>
      <c r="U29" s="6123"/>
      <c r="V29" s="6123"/>
      <c r="W29" s="6123"/>
      <c r="X29" s="6123"/>
    </row>
    <row r="30" spans="1:25">
      <c r="A30" s="1193" t="s">
        <v>1115</v>
      </c>
      <c r="B30" s="1192" t="s">
        <v>1198</v>
      </c>
      <c r="I30" s="6123"/>
      <c r="J30" s="6123"/>
      <c r="K30" s="6123"/>
      <c r="L30" s="6123"/>
      <c r="M30" s="6123"/>
      <c r="T30" s="6123"/>
      <c r="U30" s="6123"/>
      <c r="V30" s="6123"/>
      <c r="W30" s="6123"/>
      <c r="X30" s="6123"/>
    </row>
    <row r="31" spans="1:25">
      <c r="I31" s="6129"/>
      <c r="J31" s="6129"/>
      <c r="K31" s="6129"/>
      <c r="L31" s="6129"/>
      <c r="M31" s="6129"/>
      <c r="T31" s="6129"/>
      <c r="U31" s="6129"/>
      <c r="V31" s="6129"/>
      <c r="W31" s="6129"/>
      <c r="X31" s="6129"/>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11" t="s">
        <v>2849</v>
      </c>
      <c r="B1" s="6111"/>
      <c r="C1" s="6111"/>
      <c r="D1" s="6111"/>
      <c r="E1" s="6111"/>
    </row>
    <row r="2" spans="1:7">
      <c r="A2" s="6512" t="str">
        <f>'[2]Phụ lục số 2'!A2:O2</f>
        <v>(Kèm theo Báo cáo số         /BC-UBND ngày      tháng 10 năm 2023 của Ủy ban nhân dân tỉnh Đồng Tháp)</v>
      </c>
      <c r="B2" s="6499"/>
      <c r="C2" s="6499"/>
      <c r="D2" s="6499"/>
      <c r="E2" s="6499"/>
    </row>
    <row r="3" spans="1:7" ht="18.600000000000001" thickBot="1">
      <c r="A3" s="641"/>
      <c r="B3" s="641"/>
      <c r="C3" s="641"/>
      <c r="D3" s="641"/>
      <c r="E3" s="2565" t="s">
        <v>638</v>
      </c>
    </row>
    <row r="4" spans="1:7" s="641" customFormat="1" ht="31.8" thickTop="1">
      <c r="A4" s="4258" t="s">
        <v>0</v>
      </c>
      <c r="B4" s="3051" t="s">
        <v>201</v>
      </c>
      <c r="C4" s="3051" t="s">
        <v>220</v>
      </c>
      <c r="D4" s="3051" t="s">
        <v>1839</v>
      </c>
      <c r="E4" s="4543" t="s">
        <v>1840</v>
      </c>
    </row>
    <row r="5" spans="1:7" s="2576" customFormat="1">
      <c r="A5" s="586" t="s">
        <v>1</v>
      </c>
      <c r="B5" s="4544" t="s">
        <v>2850</v>
      </c>
      <c r="C5" s="4545">
        <f>+C6+C14</f>
        <v>19281205.140000001</v>
      </c>
      <c r="D5" s="4545">
        <f>+D6+D14</f>
        <v>15157669.220000001</v>
      </c>
      <c r="E5" s="4546">
        <f>+E6+E14</f>
        <v>4123535.92</v>
      </c>
      <c r="G5" s="2577"/>
    </row>
    <row r="6" spans="1:7" s="2576" customFormat="1">
      <c r="A6" s="586" t="s">
        <v>3</v>
      </c>
      <c r="B6" s="4544" t="s">
        <v>2851</v>
      </c>
      <c r="C6" s="4545">
        <f>SUM(C7,C11,C12,C13)</f>
        <v>9763960.9000000004</v>
      </c>
      <c r="D6" s="4545">
        <f t="shared" ref="D6:E6" si="0">SUM(D7,D11,D12,D13)</f>
        <v>7590930.9000000004</v>
      </c>
      <c r="E6" s="4546">
        <f t="shared" si="0"/>
        <v>2173030</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5623219.5</v>
      </c>
      <c r="D11" s="4549">
        <f>'[2]PL1-Thu6T'!L53</f>
        <v>5623219.5</v>
      </c>
      <c r="E11" s="4554">
        <f>'[2]PL1-Thu6T'!M53</f>
        <v>0</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9517244.2400000002</v>
      </c>
      <c r="D14" s="4545">
        <f t="shared" ref="D14:E14" si="1">SUM(D15,D19,D20,D21)</f>
        <v>7566738.3200000003</v>
      </c>
      <c r="E14" s="4546">
        <f t="shared" si="1"/>
        <v>1950505.9200000002</v>
      </c>
    </row>
    <row r="15" spans="1:7" s="2576" customFormat="1">
      <c r="A15" s="4547">
        <v>1</v>
      </c>
      <c r="B15" s="4548" t="str">
        <f t="shared" ref="B15:B21" si="2">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2"/>
        <v>Trong đó:</v>
      </c>
      <c r="C16" s="4549"/>
      <c r="D16" s="4549"/>
      <c r="E16" s="4550"/>
    </row>
    <row r="17" spans="1:5" s="873" customFormat="1">
      <c r="A17" s="4552" t="s">
        <v>99</v>
      </c>
      <c r="B17" s="4551" t="str">
        <f t="shared" si="2"/>
        <v>Thu tiền sử dụng đất</v>
      </c>
      <c r="C17" s="724">
        <f>SUM(D17:E17)</f>
        <v>623794</v>
      </c>
      <c r="D17" s="724">
        <f>'[2]Phụ lục số 1'!R40</f>
        <v>70000</v>
      </c>
      <c r="E17" s="4553">
        <f>'[2]Phụ lục số 1'!S40</f>
        <v>553794</v>
      </c>
    </row>
    <row r="18" spans="1:5" s="873" customFormat="1">
      <c r="A18" s="4552" t="s">
        <v>101</v>
      </c>
      <c r="B18" s="4551" t="str">
        <f t="shared" si="2"/>
        <v>Thu xổ số kiến thiết</v>
      </c>
      <c r="C18" s="724">
        <f>SUM(D18:E18)</f>
        <v>960524</v>
      </c>
      <c r="D18" s="724">
        <f>'[2]Phụ lục số 1'!R48</f>
        <v>960524</v>
      </c>
      <c r="E18" s="4553">
        <f>'[2]Phụ lục số 1'!S48</f>
        <v>0</v>
      </c>
    </row>
    <row r="19" spans="1:5">
      <c r="A19" s="4547">
        <v>2</v>
      </c>
      <c r="B19" s="4548" t="str">
        <f t="shared" si="2"/>
        <v>Thu bổ sung từ ngân sách cấp trên</v>
      </c>
      <c r="C19" s="4549">
        <f>SUM(D19:E19)</f>
        <v>5319863</v>
      </c>
      <c r="D19" s="4549">
        <f>'[2]Phụ lục số 1'!R52</f>
        <v>5319863</v>
      </c>
      <c r="E19" s="4550"/>
    </row>
    <row r="20" spans="1:5">
      <c r="A20" s="4547">
        <v>3</v>
      </c>
      <c r="B20" s="4548" t="str">
        <f t="shared" si="2"/>
        <v>Thu chuyển nguồn làm lương năm trước chuyển sang</v>
      </c>
      <c r="C20" s="4549">
        <f>SUM(D20:E20)</f>
        <v>431000</v>
      </c>
      <c r="D20" s="4549">
        <f>'[2]Phụ lục số 1'!R59</f>
        <v>89700</v>
      </c>
      <c r="E20" s="4550">
        <f>'[2]Phụ lục số 1'!S59</f>
        <v>341300</v>
      </c>
    </row>
    <row r="21" spans="1:5">
      <c r="A21" s="4547">
        <v>4</v>
      </c>
      <c r="B21" s="4548" t="str">
        <f t="shared" si="2"/>
        <v>Thu vay từ nguồn Chính phủ vay về cho vay lại</v>
      </c>
      <c r="C21" s="4549">
        <f>SUM(D21:E21)</f>
        <v>15500</v>
      </c>
      <c r="D21" s="4549">
        <f>'[2]Phụ lục số 1'!R60</f>
        <v>15500</v>
      </c>
      <c r="E21" s="4550">
        <f>'[2]Phụ lục số 1'!S60</f>
        <v>0</v>
      </c>
    </row>
    <row r="22" spans="1:5">
      <c r="A22" s="586" t="s">
        <v>37</v>
      </c>
      <c r="B22" s="4544" t="s">
        <v>2853</v>
      </c>
      <c r="C22" s="4545">
        <f>SUM(C23,C45)</f>
        <v>17568081.803680956</v>
      </c>
      <c r="D22" s="4545">
        <f t="shared" ref="D22:E22" si="3">SUM(D23,D45)</f>
        <v>8426587</v>
      </c>
      <c r="E22" s="4546">
        <f t="shared" si="3"/>
        <v>9141494.8036809564</v>
      </c>
    </row>
    <row r="23" spans="1:5" s="2576" customFormat="1">
      <c r="A23" s="586" t="s">
        <v>3</v>
      </c>
      <c r="B23" s="4544" t="s">
        <v>2854</v>
      </c>
      <c r="C23" s="4545">
        <f>SUM(C24,C31,C32,C33,C34,C35,C36,C37,C38,C42,C43)</f>
        <v>8948500.2044849377</v>
      </c>
      <c r="D23" s="4545">
        <f t="shared" ref="D23:E23" si="4">SUM(D24,D31,D32,D33,D34,D35,D36,D37,D38,D42,D43)</f>
        <v>4313601</v>
      </c>
      <c r="E23" s="4546">
        <f t="shared" si="4"/>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SUM(D25:E25)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71">
        <f>'[2]PL2-Chi6T'!J11</f>
        <v>571500</v>
      </c>
    </row>
    <row r="27" spans="1:5" s="2576" customFormat="1">
      <c r="A27" s="2822" t="s">
        <v>147</v>
      </c>
      <c r="B27" s="704" t="str">
        <f>'[2]PL2-Chi6T'!B12</f>
        <v>Chi đầu tư từ nguồn thu xổ số kiến thiết</v>
      </c>
      <c r="C27" s="723">
        <f t="shared" si="5"/>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71">
        <f>'[2]PL2-Chi6T'!J14</f>
        <v>0</v>
      </c>
    </row>
    <row r="30" spans="1:5" s="873" customFormat="1">
      <c r="A30" s="2822" t="s">
        <v>148</v>
      </c>
      <c r="B30" s="704"/>
      <c r="C30" s="723">
        <f t="shared" ref="C30" si="6">D30+E30</f>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7">SUM(D32:E32)</f>
        <v>2000</v>
      </c>
      <c r="D32" s="719">
        <f>'[2]PL2-Chi6T'!I29</f>
        <v>2000</v>
      </c>
      <c r="E32" s="4460">
        <f>'[2]PL2-Chi6T'!J29</f>
        <v>0</v>
      </c>
    </row>
    <row r="33" spans="1:5" s="588" customFormat="1" ht="17.399999999999999">
      <c r="A33" s="4555">
        <v>4</v>
      </c>
      <c r="B33" s="701" t="str">
        <f>'[2]PL2-Chi6T'!B30</f>
        <v>Dự phòng ngân sách</v>
      </c>
      <c r="C33" s="719">
        <f t="shared" si="7"/>
        <v>126802</v>
      </c>
      <c r="D33" s="719">
        <f>'[2]PL2-Chi6T'!I30</f>
        <v>39000</v>
      </c>
      <c r="E33" s="4460">
        <f>'[2]PL2-Chi6T'!J30</f>
        <v>87802</v>
      </c>
    </row>
    <row r="34" spans="1:5" s="588" customFormat="1">
      <c r="A34" s="4555">
        <v>5</v>
      </c>
      <c r="B34" s="701" t="str">
        <f>'[2]PL2-Chi6T'!B31</f>
        <v>Chi điều chỉnh tiền lương cơ sở</v>
      </c>
      <c r="C34" s="719">
        <f t="shared" si="7"/>
        <v>0</v>
      </c>
      <c r="D34" s="4566">
        <f>'[2]PL2-Chi6T'!I31</f>
        <v>0</v>
      </c>
      <c r="E34" s="4567">
        <f>'[2]PL2-Chi6T'!J31</f>
        <v>0</v>
      </c>
    </row>
    <row r="35" spans="1:5" s="588" customFormat="1">
      <c r="A35" s="4555">
        <v>6</v>
      </c>
      <c r="B35" s="701" t="str">
        <f>'[2]PL2-Chi6T'!B32</f>
        <v>Chi chuyển nguồn cải cách tiền lương sang kỳ sau thực hiện</v>
      </c>
      <c r="C35" s="719">
        <f t="shared" si="7"/>
        <v>0</v>
      </c>
      <c r="D35" s="4566">
        <f>'[2]PL2-Chi6T'!I32</f>
        <v>0</v>
      </c>
      <c r="E35" s="4567">
        <f>'[2]PL2-Chi6T'!J32</f>
        <v>0</v>
      </c>
    </row>
    <row r="36" spans="1:5" s="588" customFormat="1" ht="17.399999999999999">
      <c r="A36" s="4555">
        <v>7</v>
      </c>
      <c r="B36" s="701" t="str">
        <f>'[2]PL2-Chi6T'!B33</f>
        <v>Chi từ nguồn dự kiến tăng thu (sau khi dành CCTL theo quy định)</v>
      </c>
      <c r="C36" s="719">
        <f t="shared" si="7"/>
        <v>0</v>
      </c>
      <c r="D36" s="719">
        <f>'[2]PL2-Chi6T'!I33</f>
        <v>0</v>
      </c>
      <c r="E36" s="4460">
        <f>'[2]PL2-Chi6T'!J33</f>
        <v>0</v>
      </c>
    </row>
    <row r="37" spans="1:5" s="588" customFormat="1" ht="17.399999999999999">
      <c r="A37" s="4555">
        <v>8</v>
      </c>
      <c r="B37" s="701" t="str">
        <f>'[2]PL2-Chi6T'!B34</f>
        <v>Chi trả lãi tiền vay</v>
      </c>
      <c r="C37" s="719">
        <f t="shared" si="7"/>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 t="shared" ref="D38:E38" si="8">SUM(D39:D41)</f>
        <v>994488</v>
      </c>
      <c r="E38" s="4460">
        <f t="shared" si="8"/>
        <v>0</v>
      </c>
    </row>
    <row r="39" spans="1:5" s="873" customFormat="1">
      <c r="A39" s="4552" t="s">
        <v>99</v>
      </c>
      <c r="B39" s="4551" t="str">
        <f>'[2]PL2-Chi6T'!B36</f>
        <v>Chi thực hiện mục tiêu, nhiệm vụ quan trọng (vốn đầu tư phát triển)</v>
      </c>
      <c r="C39" s="4568">
        <f>SUM(D39:E39)</f>
        <v>907245.5</v>
      </c>
      <c r="D39" s="4568">
        <f>'[2]PL2-Chi6T'!I36</f>
        <v>907245.5</v>
      </c>
      <c r="E39" s="4569">
        <f>'[2]PL2-Chi6T'!J36</f>
        <v>0</v>
      </c>
    </row>
    <row r="40" spans="1:5" s="873" customFormat="1">
      <c r="A40" s="4552" t="s">
        <v>101</v>
      </c>
      <c r="B40" s="4551" t="str">
        <f>'[2]PL2-Chi6T'!B37</f>
        <v>Chi thực hiện mục tiêu, nhiệm vụ quan trọng (kinh phí sự nghiệp)</v>
      </c>
      <c r="C40" s="4568">
        <f t="shared" ref="C40:C43" si="9">SUM(D40:E40)</f>
        <v>87242.5</v>
      </c>
      <c r="D40" s="4568">
        <f>'[2]PL2-Chi6T'!I37</f>
        <v>87242.5</v>
      </c>
      <c r="E40" s="4569">
        <f>'[2]PL2-Chi6T'!J37</f>
        <v>0</v>
      </c>
    </row>
    <row r="41" spans="1:5" s="873" customFormat="1">
      <c r="A41" s="4552" t="s">
        <v>147</v>
      </c>
      <c r="B41" s="4551" t="str">
        <f>'[2]PL2-Chi6T'!B38</f>
        <v>Chi bổ sung có mục tiêu nhiệm vụ quan trọng khác (nếu có)</v>
      </c>
      <c r="C41" s="4568">
        <f t="shared" si="9"/>
        <v>0</v>
      </c>
      <c r="D41" s="4568">
        <f>'[2]PL2-Chi6T'!I38</f>
        <v>0</v>
      </c>
      <c r="E41" s="4569">
        <f>'[2]PL2-Chi6T'!J38</f>
        <v>0</v>
      </c>
    </row>
    <row r="42" spans="1:5" s="588" customFormat="1" ht="17.399999999999999">
      <c r="A42" s="4555">
        <v>10</v>
      </c>
      <c r="B42" s="701" t="str">
        <f>'[2]PL2-Chi6T'!B39</f>
        <v>Chi đầu tư từ nguồn vốn Chính phủ vay về cho vay lại</v>
      </c>
      <c r="C42" s="719">
        <f t="shared" si="9"/>
        <v>0</v>
      </c>
      <c r="D42" s="719">
        <f>'[2]PL2-Chi6T'!I39</f>
        <v>0</v>
      </c>
      <c r="E42" s="4460">
        <f>'[2]PL2-Chi6T'!J39</f>
        <v>0</v>
      </c>
    </row>
    <row r="43" spans="1:5" s="386" customFormat="1" ht="17.399999999999999">
      <c r="A43" s="4555">
        <v>11</v>
      </c>
      <c r="B43" s="4556" t="s">
        <v>2855</v>
      </c>
      <c r="C43" s="719">
        <f t="shared" si="9"/>
        <v>0</v>
      </c>
      <c r="D43" s="719">
        <f>E11</f>
        <v>0</v>
      </c>
      <c r="E43" s="4460">
        <v>0</v>
      </c>
    </row>
    <row r="44" spans="1:5">
      <c r="A44" s="586"/>
      <c r="B44" s="587" t="s">
        <v>2856</v>
      </c>
      <c r="C44" s="4545">
        <f>SUM(D44:E44)</f>
        <v>815460.69551506266</v>
      </c>
      <c r="D44" s="4545">
        <f>D6-D23</f>
        <v>3277329.9000000004</v>
      </c>
      <c r="E44" s="4546">
        <f>E6-E23</f>
        <v>-2461869.2044849377</v>
      </c>
    </row>
    <row r="45" spans="1:5">
      <c r="A45" s="586" t="s">
        <v>33</v>
      </c>
      <c r="B45" s="4544" t="s">
        <v>2857</v>
      </c>
      <c r="C45" s="4545">
        <f>SUM(C46,C53,C54,C55,C56,C57,C58,C59,C60,C64,C65)</f>
        <v>8619581.5991960187</v>
      </c>
      <c r="D45" s="4545">
        <f t="shared" ref="D45:E45" si="10">SUM(D46,D53,D54,D55,D56,D57,D58,D59,D60,D64,D65)</f>
        <v>4112986</v>
      </c>
      <c r="E45" s="4546">
        <f t="shared" si="10"/>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11">A25</f>
        <v>a</v>
      </c>
      <c r="B47" s="704" t="str">
        <f>B25</f>
        <v>Chi đầu tư xây dựng cơ bản</v>
      </c>
      <c r="C47" s="723">
        <f>SUM(D47:E47)</f>
        <v>571593.20448493806</v>
      </c>
      <c r="D47" s="723">
        <f>'[2]PL2-Chi6T'!N10</f>
        <v>281093</v>
      </c>
      <c r="E47" s="4471">
        <f>'[2]PL2-Chi6T'!O10</f>
        <v>290500.20448493806</v>
      </c>
    </row>
    <row r="48" spans="1:5">
      <c r="A48" s="4547" t="str">
        <f t="shared" si="11"/>
        <v>b</v>
      </c>
      <c r="B48" s="704" t="str">
        <f t="shared" si="11"/>
        <v>Chi đầu tư từ nguồn thu tiền sử dụng đất</v>
      </c>
      <c r="C48" s="723">
        <f t="shared" ref="C48:C52" si="12">SUM(D48:E48)</f>
        <v>591289</v>
      </c>
      <c r="D48" s="723">
        <f>'[2]PL2-Chi6T'!N11</f>
        <v>89000</v>
      </c>
      <c r="E48" s="4471">
        <f>'[2]PL2-Chi6T'!O11</f>
        <v>502289</v>
      </c>
    </row>
    <row r="49" spans="1:5">
      <c r="A49" s="4547" t="str">
        <f t="shared" si="11"/>
        <v>c</v>
      </c>
      <c r="B49" s="704" t="str">
        <f t="shared" si="11"/>
        <v>Chi đầu tư từ nguồn thu xổ số kiến thiết</v>
      </c>
      <c r="C49" s="723">
        <f t="shared" si="12"/>
        <v>1099485</v>
      </c>
      <c r="D49" s="723">
        <f>'[2]PL2-Chi6T'!N12</f>
        <v>1099485</v>
      </c>
      <c r="E49" s="4471">
        <f>'[2]PL2-Chi6T'!O12</f>
        <v>0</v>
      </c>
    </row>
    <row r="50" spans="1:5">
      <c r="A50" s="4547" t="str">
        <f t="shared" si="11"/>
        <v>d</v>
      </c>
      <c r="B50" s="704" t="str">
        <f t="shared" si="11"/>
        <v>Chi đầu tư từ nguồn thu thoái vốn doanh nghiệp nhà nước địa phương quản lý;…</v>
      </c>
      <c r="C50" s="723">
        <f t="shared" si="12"/>
        <v>0</v>
      </c>
      <c r="D50" s="723">
        <f>'[2]PL2-Chi6T'!N13</f>
        <v>0</v>
      </c>
      <c r="E50" s="4471">
        <f>'[2]PL2-Chi6T'!O13</f>
        <v>0</v>
      </c>
    </row>
    <row r="51" spans="1:5">
      <c r="A51" s="4547" t="str">
        <f t="shared" si="11"/>
        <v>e</v>
      </c>
      <c r="B51" s="704" t="str">
        <f t="shared" si="11"/>
        <v>Chi đầu tư phát triển khác (Ủy thác qua NH Chính sách chi nhánh tỉnh Đồng Tháp)</v>
      </c>
      <c r="C51" s="723">
        <f t="shared" si="12"/>
        <v>0</v>
      </c>
      <c r="D51" s="723">
        <f>'[2]PL2-Chi6T'!N14</f>
        <v>0</v>
      </c>
      <c r="E51" s="4471">
        <f>'[2]PL2-Chi6T'!O14</f>
        <v>0</v>
      </c>
    </row>
    <row r="52" spans="1:5">
      <c r="A52" s="4547" t="str">
        <f t="shared" si="11"/>
        <v>d</v>
      </c>
      <c r="B52" s="704"/>
      <c r="C52" s="723">
        <f t="shared" si="12"/>
        <v>0</v>
      </c>
      <c r="D52" s="723">
        <f>'[2]Phụ lục số 2'!N13</f>
        <v>0</v>
      </c>
      <c r="E52" s="4471"/>
    </row>
    <row r="53" spans="1:5" s="386" customFormat="1" ht="17.399999999999999">
      <c r="A53" s="4555">
        <f t="shared" si="11"/>
        <v>2</v>
      </c>
      <c r="B53" s="4556" t="str">
        <f>B31</f>
        <v>Chi thường xuyên</v>
      </c>
      <c r="C53" s="719">
        <f>SUM(D53:E53)</f>
        <v>5361226.3947110809</v>
      </c>
      <c r="D53" s="719">
        <f>'[2]PL2-Chi6T'!N15</f>
        <v>1647420</v>
      </c>
      <c r="E53" s="4460">
        <f>'[2]PL2-Chi6T'!O15</f>
        <v>3713806.3947110809</v>
      </c>
    </row>
    <row r="54" spans="1:5" s="386" customFormat="1" ht="17.399999999999999">
      <c r="A54" s="4555">
        <f t="shared" si="11"/>
        <v>3</v>
      </c>
      <c r="B54" s="4556" t="str">
        <f t="shared" si="11"/>
        <v xml:space="preserve">Chi bổ sung quỹ dự trữ tài chính </v>
      </c>
      <c r="C54" s="719">
        <f t="shared" ref="C54:C60" si="13">SUM(D54:E54)</f>
        <v>0</v>
      </c>
      <c r="D54" s="719">
        <f>'[2]PL2-Chi6T'!N29</f>
        <v>0</v>
      </c>
      <c r="E54" s="4460">
        <f>'[2]PL2-Chi6T'!O29</f>
        <v>0</v>
      </c>
    </row>
    <row r="55" spans="1:5" s="386" customFormat="1" ht="17.399999999999999">
      <c r="A55" s="4555">
        <f t="shared" si="11"/>
        <v>4</v>
      </c>
      <c r="B55" s="4556" t="str">
        <f t="shared" si="11"/>
        <v>Dự phòng ngân sách</v>
      </c>
      <c r="C55" s="719">
        <f t="shared" si="13"/>
        <v>0</v>
      </c>
      <c r="D55" s="4468">
        <f>'[2]PL2-Chi6T'!N30</f>
        <v>0</v>
      </c>
      <c r="E55" s="4469"/>
    </row>
    <row r="56" spans="1:5" s="386" customFormat="1" ht="17.399999999999999">
      <c r="A56" s="4555">
        <f t="shared" si="11"/>
        <v>5</v>
      </c>
      <c r="B56" s="4556" t="str">
        <f t="shared" si="11"/>
        <v>Chi điều chỉnh tiền lương cơ sở</v>
      </c>
      <c r="C56" s="719">
        <f t="shared" si="13"/>
        <v>0</v>
      </c>
      <c r="D56" s="4468">
        <f>'[2]PL2-Chi6T'!N31</f>
        <v>0</v>
      </c>
      <c r="E56" s="4469">
        <f>'[2]PL2-Chi6T'!O31</f>
        <v>0</v>
      </c>
    </row>
    <row r="57" spans="1:5" s="386" customFormat="1">
      <c r="A57" s="4555">
        <f t="shared" si="11"/>
        <v>6</v>
      </c>
      <c r="B57" s="4556" t="str">
        <f t="shared" si="11"/>
        <v>Chi chuyển nguồn cải cách tiền lương sang kỳ sau thực hiện</v>
      </c>
      <c r="C57" s="719">
        <f t="shared" si="13"/>
        <v>0</v>
      </c>
      <c r="D57" s="4558">
        <f>'[2]PL2-Chi6T'!N32</f>
        <v>0</v>
      </c>
      <c r="E57" s="4559">
        <f>'[2]PL2-Chi6T'!O32</f>
        <v>0</v>
      </c>
    </row>
    <row r="58" spans="1:5" s="386" customFormat="1" ht="17.399999999999999">
      <c r="A58" s="4555">
        <f t="shared" si="11"/>
        <v>7</v>
      </c>
      <c r="B58" s="4556" t="str">
        <f t="shared" si="11"/>
        <v>Chi từ nguồn dự kiến tăng thu (sau khi dành CCTL theo quy định)</v>
      </c>
      <c r="C58" s="719">
        <f t="shared" si="13"/>
        <v>0</v>
      </c>
      <c r="D58" s="719">
        <f>'[2]PL2-Chi6T'!N33</f>
        <v>0</v>
      </c>
      <c r="E58" s="4460">
        <f>'[2]PL2-Chi6T'!O33</f>
        <v>0</v>
      </c>
    </row>
    <row r="59" spans="1:5" s="386" customFormat="1" ht="17.399999999999999">
      <c r="A59" s="4555">
        <f t="shared" si="11"/>
        <v>8</v>
      </c>
      <c r="B59" s="4556" t="str">
        <f t="shared" si="11"/>
        <v>Chi trả lãi tiền vay</v>
      </c>
      <c r="C59" s="719">
        <f t="shared" si="13"/>
        <v>1500</v>
      </c>
      <c r="D59" s="719">
        <f>'[2]PL2-Chi6T'!N34</f>
        <v>1500</v>
      </c>
      <c r="E59" s="4460">
        <f>'[2]PL2-Chi6T'!O34</f>
        <v>0</v>
      </c>
    </row>
    <row r="60" spans="1:5" s="386" customFormat="1" ht="17.399999999999999">
      <c r="A60" s="4555">
        <f t="shared" si="11"/>
        <v>9</v>
      </c>
      <c r="B60" s="4556" t="str">
        <f t="shared" si="11"/>
        <v>Chi từ nguồn ngân sách trung ương bổ sung có mục tiêu</v>
      </c>
      <c r="C60" s="719">
        <f t="shared" si="13"/>
        <v>994488</v>
      </c>
      <c r="D60" s="719">
        <f t="shared" ref="D60" si="14">SUM(D61:D63)</f>
        <v>994488</v>
      </c>
      <c r="E60" s="4460"/>
    </row>
    <row r="61" spans="1:5" s="873" customFormat="1">
      <c r="A61" s="4552" t="str">
        <f t="shared" si="11"/>
        <v>a</v>
      </c>
      <c r="B61" s="4551" t="str">
        <f t="shared" si="11"/>
        <v>Chi thực hiện mục tiêu, nhiệm vụ quan trọng (vốn đầu tư phát triển)</v>
      </c>
      <c r="C61" s="724">
        <f>SUM(D61:E61)</f>
        <v>907245.5</v>
      </c>
      <c r="D61" s="724">
        <f>'[2]PL2-Chi6T'!N36</f>
        <v>907245.5</v>
      </c>
      <c r="E61" s="4553">
        <f>'[2]PL2-Chi6T'!O36</f>
        <v>0</v>
      </c>
    </row>
    <row r="62" spans="1:5" s="873" customFormat="1">
      <c r="A62" s="4552" t="str">
        <f t="shared" si="11"/>
        <v>b</v>
      </c>
      <c r="B62" s="4551" t="str">
        <f t="shared" si="11"/>
        <v>Chi thực hiện mục tiêu, nhiệm vụ quan trọng (kinh phí sự nghiệp)</v>
      </c>
      <c r="C62" s="724">
        <f t="shared" ref="C62:C65" si="15">SUM(D62:E62)</f>
        <v>87242.5</v>
      </c>
      <c r="D62" s="724">
        <f>'[2]PL2-Chi6T'!N37</f>
        <v>87242.5</v>
      </c>
      <c r="E62" s="4553">
        <f>'[2]PL2-Chi6T'!O37</f>
        <v>0</v>
      </c>
    </row>
    <row r="63" spans="1:5" s="873" customFormat="1">
      <c r="A63" s="4552" t="str">
        <f t="shared" ref="A63:B65" si="16">A41</f>
        <v>c</v>
      </c>
      <c r="B63" s="4551" t="str">
        <f t="shared" si="16"/>
        <v>Chi bổ sung có mục tiêu nhiệm vụ quan trọng khác (nếu có)</v>
      </c>
      <c r="C63" s="724">
        <f t="shared" si="15"/>
        <v>0</v>
      </c>
      <c r="D63" s="724">
        <f>'[2]PL2-Chi6T'!N38</f>
        <v>0</v>
      </c>
      <c r="E63" s="4553">
        <f>'[2]PL2-Chi6T'!O38</f>
        <v>0</v>
      </c>
    </row>
    <row r="64" spans="1:5" s="386" customFormat="1">
      <c r="A64" s="4555">
        <f t="shared" si="16"/>
        <v>10</v>
      </c>
      <c r="B64" s="4556" t="str">
        <f t="shared" si="16"/>
        <v>Chi đầu tư từ nguồn vốn Chính phủ vay về cho vay lại</v>
      </c>
      <c r="C64" s="724">
        <f t="shared" si="15"/>
        <v>0</v>
      </c>
      <c r="D64" s="719"/>
      <c r="E64" s="4460"/>
    </row>
    <row r="65" spans="1:5" s="386" customFormat="1">
      <c r="A65" s="4555">
        <f t="shared" si="16"/>
        <v>11</v>
      </c>
      <c r="B65" s="4556" t="str">
        <f t="shared" si="16"/>
        <v>Chi bổ sung cho ngân sách huyện, thành phố</v>
      </c>
      <c r="C65" s="724">
        <f t="shared" si="15"/>
        <v>0</v>
      </c>
      <c r="D65" s="4560"/>
      <c r="E65" s="4561"/>
    </row>
    <row r="66" spans="1:5" s="588" customFormat="1" thickBot="1">
      <c r="A66" s="4562"/>
      <c r="B66" s="4563" t="s">
        <v>2858</v>
      </c>
      <c r="C66" s="4564">
        <f t="shared" ref="C66" si="17">D66+E66</f>
        <v>1713123.3363190442</v>
      </c>
      <c r="D66" s="4564">
        <f>D5-D22</f>
        <v>6731082.2200000007</v>
      </c>
      <c r="E66" s="4565">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6" t="s">
        <v>1658</v>
      </c>
      <c r="B1" s="6576"/>
      <c r="C1" s="6576"/>
    </row>
    <row r="2" spans="1:7" s="386" customFormat="1" ht="17.399999999999999" hidden="1">
      <c r="A2" s="6576" t="s">
        <v>1673</v>
      </c>
      <c r="B2" s="6576"/>
      <c r="C2" s="6576"/>
    </row>
    <row r="3" spans="1:7" s="386" customFormat="1" ht="17.399999999999999" hidden="1">
      <c r="C3" s="641"/>
    </row>
    <row r="4" spans="1:7">
      <c r="A4" s="6292" t="s">
        <v>3186</v>
      </c>
      <c r="B4" s="6082"/>
      <c r="C4" s="6082"/>
    </row>
    <row r="5" spans="1:7">
      <c r="A5" s="6260" t="s">
        <v>1725</v>
      </c>
      <c r="B5" s="6260"/>
      <c r="C5" s="6260"/>
    </row>
    <row r="6" spans="1:7">
      <c r="A6" s="317"/>
      <c r="B6" s="317"/>
      <c r="C6" s="317"/>
    </row>
    <row r="7" spans="1:7" ht="18.600000000000001" thickBot="1">
      <c r="A7" s="317"/>
      <c r="B7" s="6508" t="s">
        <v>638</v>
      </c>
      <c r="C7" s="6508"/>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598" t="s">
        <v>3190</v>
      </c>
      <c r="B4" s="6598"/>
      <c r="C4" s="6598"/>
    </row>
    <row r="5" spans="1:3" s="2663" customFormat="1">
      <c r="A5" s="6599" t="str">
        <f>+'Phụ lục 1-HĐND'!A5:C5</f>
        <v>(Kèm theo Nghị quyết số         /NQ-HĐND ngày     /12/2024 của Hội đồng nhân dân Tỉnh)</v>
      </c>
      <c r="B5" s="6599"/>
      <c r="C5" s="6599"/>
    </row>
    <row r="6" spans="1:3" s="2663" customFormat="1">
      <c r="A6" s="5256"/>
      <c r="B6" s="5256"/>
      <c r="C6" s="5256"/>
    </row>
    <row r="7" spans="1:3" s="2663" customFormat="1" thickBot="1">
      <c r="A7" s="5257"/>
      <c r="B7" s="6600" t="s">
        <v>638</v>
      </c>
      <c r="C7" s="6600"/>
    </row>
    <row r="8" spans="1:3" s="2668" customFormat="1" thickTop="1">
      <c r="A8" s="6601" t="s">
        <v>1660</v>
      </c>
      <c r="B8" s="6603" t="s">
        <v>201</v>
      </c>
      <c r="C8" s="6605" t="s">
        <v>1455</v>
      </c>
    </row>
    <row r="9" spans="1:3" s="2668" customFormat="1" ht="17.399999999999999">
      <c r="A9" s="6602"/>
      <c r="B9" s="6604"/>
      <c r="C9" s="6606"/>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09" t="s">
        <v>1658</v>
      </c>
      <c r="C1" s="6509"/>
      <c r="D1" s="6509"/>
    </row>
    <row r="2" spans="1:8" s="386" customFormat="1" ht="17.399999999999999" hidden="1">
      <c r="B2" s="6509" t="s">
        <v>1659</v>
      </c>
      <c r="C2" s="6509"/>
      <c r="D2" s="6509"/>
    </row>
    <row r="3" spans="1:8" s="386" customFormat="1" ht="17.399999999999999" hidden="1">
      <c r="B3" s="641"/>
      <c r="C3" s="6283"/>
      <c r="D3" s="6283"/>
      <c r="E3" s="6283"/>
    </row>
    <row r="4" spans="1:8" s="386" customFormat="1" ht="17.399999999999999">
      <c r="A4" s="6292" t="s">
        <v>1416</v>
      </c>
      <c r="B4" s="6082"/>
      <c r="C4" s="6082"/>
      <c r="D4" s="6082"/>
      <c r="E4" s="6082"/>
    </row>
    <row r="5" spans="1:8" s="386" customFormat="1">
      <c r="A5" s="6510" t="str">
        <f>+'Phụ lục 2-HĐND'!A5:C5</f>
        <v>(Kèm theo Nghị quyết số         /NQ-HĐND ngày     /12/2024 của Hội đồng nhân dân Tỉnh)</v>
      </c>
      <c r="B5" s="6511"/>
      <c r="C5" s="6511"/>
      <c r="D5" s="6511"/>
      <c r="E5" s="6511"/>
    </row>
    <row r="6" spans="1:8" s="386" customFormat="1" ht="17.399999999999999">
      <c r="A6" s="2761"/>
      <c r="B6" s="319"/>
      <c r="C6" s="319"/>
      <c r="D6" s="319"/>
      <c r="E6" s="319"/>
    </row>
    <row r="7" spans="1:8" ht="18.600000000000001" thickBot="1">
      <c r="A7" s="47"/>
      <c r="B7" s="6508" t="s">
        <v>638</v>
      </c>
      <c r="C7" s="6508"/>
      <c r="D7" s="6508"/>
      <c r="E7" s="6508"/>
    </row>
    <row r="8" spans="1:8" s="386" customFormat="1" thickTop="1">
      <c r="A8" s="6503" t="s">
        <v>1660</v>
      </c>
      <c r="B8" s="6505" t="s">
        <v>137</v>
      </c>
      <c r="C8" s="6080" t="s">
        <v>1455</v>
      </c>
      <c r="D8" s="6080"/>
      <c r="E8" s="6081"/>
    </row>
    <row r="9" spans="1:8" s="386" customFormat="1" ht="17.399999999999999">
      <c r="A9" s="6504"/>
      <c r="B9" s="6294"/>
      <c r="C9" s="6294" t="s">
        <v>54</v>
      </c>
      <c r="D9" s="6506" t="s">
        <v>1710</v>
      </c>
      <c r="E9" s="6507"/>
    </row>
    <row r="10" spans="1:8" s="431" customFormat="1" ht="69.599999999999994">
      <c r="A10" s="6504"/>
      <c r="B10" s="6294"/>
      <c r="C10" s="6294"/>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2" t="str">
        <f>+'Phụ lục số 4'!B70</f>
        <v>- Trả nợ vay từ nguồn vốn Chính phủ vay về cho vay lại</v>
      </c>
      <c r="C55" s="6502"/>
      <c r="D55" s="5287">
        <f>+'Phụ lục số 4'!C70</f>
        <v>20800</v>
      </c>
      <c r="E55" s="5285" t="s">
        <v>3220</v>
      </c>
    </row>
    <row r="56" spans="1:5" s="873" customFormat="1">
      <c r="A56" s="1649"/>
      <c r="B56" s="6502" t="str">
        <f>+'Phụ lục số 4'!B71</f>
        <v>- Chương trình Cụm tuyến dân cư, tôn nền vượt lũ</v>
      </c>
      <c r="C56" s="6502"/>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6"/>
      <c r="B1" s="6576"/>
      <c r="C1" s="6576"/>
    </row>
    <row r="2" spans="1:4" hidden="1">
      <c r="A2" s="386"/>
      <c r="B2" s="386"/>
      <c r="C2" s="386"/>
    </row>
    <row r="3" spans="1:4">
      <c r="A3" s="6111" t="s">
        <v>3134</v>
      </c>
      <c r="B3" s="6047"/>
      <c r="C3" s="6047"/>
    </row>
    <row r="4" spans="1:4">
      <c r="A4" s="6514" t="str">
        <f>+'Phụ lục 3-HĐND'!A5:E5</f>
        <v>(Kèm theo Nghị quyết số         /NQ-HĐND ngày     /12/2024 của Hội đồng nhân dân Tỉnh)</v>
      </c>
      <c r="B4" s="6500"/>
      <c r="C4" s="6500"/>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3" t="s">
        <v>756</v>
      </c>
      <c r="B1" s="6283"/>
      <c r="C1" s="6283"/>
      <c r="D1" s="6283"/>
      <c r="E1" s="6283"/>
      <c r="F1" s="6283"/>
      <c r="G1" s="6283"/>
      <c r="H1" s="6283"/>
      <c r="I1" s="6283"/>
      <c r="J1" s="6283"/>
      <c r="K1" s="6283"/>
      <c r="L1" s="6283"/>
      <c r="M1" s="6283"/>
      <c r="N1" s="6283"/>
      <c r="O1" s="6283"/>
      <c r="P1" s="6283"/>
      <c r="Q1" s="6283"/>
      <c r="R1" s="6283"/>
      <c r="S1" s="6283"/>
      <c r="T1" s="6283"/>
      <c r="U1" s="6283"/>
      <c r="V1" s="6283"/>
      <c r="W1" s="6283"/>
      <c r="X1" s="6283"/>
      <c r="Y1" s="6283"/>
      <c r="Z1" s="6283"/>
      <c r="AA1" s="6283"/>
      <c r="AB1" s="6283"/>
      <c r="AC1" s="6283"/>
      <c r="AD1" s="6283"/>
      <c r="AE1" s="6283"/>
      <c r="AF1" s="6283"/>
      <c r="AG1" s="6283"/>
      <c r="AH1" s="6283"/>
      <c r="AI1" s="6283"/>
      <c r="AJ1" s="6283"/>
      <c r="AK1" s="6283"/>
      <c r="AL1" s="6283"/>
      <c r="AM1" s="6283"/>
    </row>
    <row r="2" spans="1:41">
      <c r="A2" s="6327" t="str">
        <f>+'Phụ lục 4-HĐND'!A4:C4</f>
        <v>(Kèm theo Nghị quyết số         /NQ-HĐND ngày     /12/2024 của Hội đồng nhân dân Tỉnh)</v>
      </c>
      <c r="B2" s="6327"/>
      <c r="C2" s="6327"/>
      <c r="D2" s="6327"/>
      <c r="E2" s="6327"/>
      <c r="F2" s="6327"/>
      <c r="G2" s="6327"/>
      <c r="H2" s="6327"/>
      <c r="I2" s="6327"/>
      <c r="J2" s="6327"/>
      <c r="K2" s="6327"/>
      <c r="L2" s="6327"/>
      <c r="M2" s="6327"/>
      <c r="N2" s="6327"/>
      <c r="O2" s="6327"/>
      <c r="P2" s="6327"/>
      <c r="Q2" s="6327"/>
      <c r="R2" s="6327"/>
      <c r="S2" s="6327"/>
      <c r="T2" s="6327"/>
      <c r="U2" s="6327"/>
      <c r="V2" s="6327"/>
      <c r="W2" s="6327"/>
      <c r="X2" s="6327"/>
      <c r="Y2" s="6327"/>
      <c r="Z2" s="6327"/>
      <c r="AA2" s="6327"/>
      <c r="AB2" s="6327"/>
      <c r="AC2" s="6327"/>
      <c r="AD2" s="6327"/>
      <c r="AE2" s="6327"/>
      <c r="AF2" s="6327"/>
      <c r="AG2" s="6327"/>
      <c r="AH2" s="6327"/>
      <c r="AI2" s="6327"/>
      <c r="AJ2" s="6327"/>
      <c r="AK2" s="6327"/>
      <c r="AL2" s="6327"/>
      <c r="AM2" s="6327"/>
    </row>
    <row r="3" spans="1:41">
      <c r="P3" s="667">
        <f>+P10-'Phụ lục số 5'!P10</f>
        <v>0</v>
      </c>
      <c r="AB3" s="426"/>
    </row>
    <row r="4" spans="1:41" ht="18.600000000000001" thickBot="1">
      <c r="C4" s="426">
        <f>+C10-'Phụ lục số 5'!C10</f>
        <v>0</v>
      </c>
      <c r="Y4" s="667"/>
      <c r="AH4" s="6518" t="s">
        <v>638</v>
      </c>
      <c r="AI4" s="6518"/>
      <c r="AJ4" s="6518"/>
      <c r="AK4" s="681"/>
    </row>
    <row r="5" spans="1:41" s="386" customFormat="1" ht="18.75" customHeight="1" thickTop="1">
      <c r="A5" s="6519" t="s">
        <v>136</v>
      </c>
      <c r="B5" s="6521" t="s">
        <v>639</v>
      </c>
      <c r="C5" s="6522" t="s">
        <v>121</v>
      </c>
      <c r="D5" s="6522"/>
      <c r="E5" s="6522"/>
      <c r="F5" s="6522"/>
      <c r="G5" s="6522"/>
      <c r="H5" s="6522"/>
      <c r="I5" s="6522"/>
      <c r="J5" s="6522"/>
      <c r="K5" s="6522"/>
      <c r="L5" s="6522"/>
      <c r="M5" s="6522"/>
      <c r="N5" s="6522"/>
      <c r="O5" s="6522"/>
      <c r="P5" s="6522"/>
      <c r="Q5" s="6522"/>
      <c r="R5" s="6522"/>
      <c r="S5" s="6522"/>
      <c r="T5" s="6522"/>
      <c r="U5" s="6522"/>
      <c r="V5" s="6522"/>
      <c r="W5" s="6522"/>
      <c r="X5" s="6522"/>
      <c r="Y5" s="6522"/>
      <c r="Z5" s="6522"/>
      <c r="AA5" s="6522"/>
      <c r="AB5" s="6522"/>
      <c r="AC5" s="6522"/>
      <c r="AD5" s="6522"/>
      <c r="AE5" s="6522"/>
      <c r="AF5" s="6522"/>
      <c r="AG5" s="6522"/>
      <c r="AH5" s="6522"/>
      <c r="AI5" s="6522"/>
      <c r="AJ5" s="6522"/>
      <c r="AK5" s="5010"/>
      <c r="AL5" s="6521" t="s">
        <v>640</v>
      </c>
      <c r="AM5" s="6523" t="s">
        <v>3230</v>
      </c>
      <c r="AN5" s="6525" t="s">
        <v>3174</v>
      </c>
    </row>
    <row r="6" spans="1:41" s="386" customFormat="1" ht="17.399999999999999">
      <c r="A6" s="6520"/>
      <c r="B6" s="6046"/>
      <c r="C6" s="6046" t="s">
        <v>641</v>
      </c>
      <c r="D6" s="6046" t="s">
        <v>642</v>
      </c>
      <c r="E6" s="6046"/>
      <c r="F6" s="6046"/>
      <c r="G6" s="6046"/>
      <c r="H6" s="6046"/>
      <c r="I6" s="6046"/>
      <c r="J6" s="6046"/>
      <c r="K6" s="6046"/>
      <c r="L6" s="6046"/>
      <c r="M6" s="6046"/>
      <c r="N6" s="6046"/>
      <c r="O6" s="6046"/>
      <c r="P6" s="6466" t="s">
        <v>643</v>
      </c>
      <c r="Q6" s="6466"/>
      <c r="R6" s="6466"/>
      <c r="S6" s="6466"/>
      <c r="T6" s="6466"/>
      <c r="U6" s="6466"/>
      <c r="V6" s="6466"/>
      <c r="W6" s="6466"/>
      <c r="X6" s="6466"/>
      <c r="Y6" s="6466"/>
      <c r="Z6" s="6466"/>
      <c r="AA6" s="6466"/>
      <c r="AB6" s="6466"/>
      <c r="AC6" s="6466"/>
      <c r="AD6" s="6046" t="s">
        <v>755</v>
      </c>
      <c r="AE6" s="6046" t="s">
        <v>174</v>
      </c>
      <c r="AF6" s="6046" t="s">
        <v>175</v>
      </c>
      <c r="AG6" s="6515" t="s">
        <v>176</v>
      </c>
      <c r="AH6" s="6046" t="s">
        <v>644</v>
      </c>
      <c r="AI6" s="6371" t="s">
        <v>645</v>
      </c>
      <c r="AJ6" s="6371"/>
      <c r="AK6" s="6046" t="s">
        <v>766</v>
      </c>
      <c r="AL6" s="6046"/>
      <c r="AM6" s="6513"/>
      <c r="AN6" s="6526"/>
    </row>
    <row r="7" spans="1:41" s="386" customFormat="1" ht="17.399999999999999">
      <c r="A7" s="6520"/>
      <c r="B7" s="6046"/>
      <c r="C7" s="6046"/>
      <c r="D7" s="6046" t="s">
        <v>646</v>
      </c>
      <c r="E7" s="6046" t="s">
        <v>645</v>
      </c>
      <c r="F7" s="6046"/>
      <c r="G7" s="6046"/>
      <c r="H7" s="6046"/>
      <c r="I7" s="6046"/>
      <c r="J7" s="6046"/>
      <c r="K7" s="6046"/>
      <c r="L7" s="6046"/>
      <c r="M7" s="6046"/>
      <c r="N7" s="6046"/>
      <c r="O7" s="6046"/>
      <c r="P7" s="6046" t="s">
        <v>647</v>
      </c>
      <c r="Q7" s="6466" t="s">
        <v>645</v>
      </c>
      <c r="R7" s="6466"/>
      <c r="S7" s="6466"/>
      <c r="T7" s="6466"/>
      <c r="U7" s="6466"/>
      <c r="V7" s="6466"/>
      <c r="W7" s="6466"/>
      <c r="X7" s="6466"/>
      <c r="Y7" s="6466"/>
      <c r="Z7" s="6466"/>
      <c r="AA7" s="6466"/>
      <c r="AB7" s="6466"/>
      <c r="AC7" s="6466"/>
      <c r="AD7" s="6046"/>
      <c r="AE7" s="6046"/>
      <c r="AF7" s="6046"/>
      <c r="AG7" s="6515"/>
      <c r="AH7" s="6046"/>
      <c r="AI7" s="6371"/>
      <c r="AJ7" s="6371"/>
      <c r="AK7" s="6046"/>
      <c r="AL7" s="6046"/>
      <c r="AM7" s="6513"/>
      <c r="AN7" s="6526"/>
    </row>
    <row r="8" spans="1:41" s="386" customFormat="1" ht="18.75" hidden="1" customHeight="1">
      <c r="A8" s="6520"/>
      <c r="B8" s="6046"/>
      <c r="C8" s="6046"/>
      <c r="D8" s="6046"/>
      <c r="E8" s="6325" t="str">
        <f>'[2]Phụ lục số 2'!B10</f>
        <v>Chi đầu tư xây dựng cơ bản</v>
      </c>
      <c r="F8" s="6325" t="str">
        <f>'[2]Phụ lục số 2'!B11</f>
        <v>Chi đầu tư từ nguồn thu tiền sử dụng đất</v>
      </c>
      <c r="G8" s="6516"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5" t="str">
        <f>'[2]Phụ lục số 2'!B12</f>
        <v>Chi đầu tư từ nguồn thu xổ số kiến thiết</v>
      </c>
      <c r="I8" s="6516" t="str">
        <f>+'Phụ lục số 5'!I8:I9</f>
        <v>Trong đó: Ủy thác qua Ngân hàng Chính sách xã hội chi nhánh tỉnh Đồng Tháp (từ nguồn thu sổ số kiến thiết năm 2025)</v>
      </c>
      <c r="J8" s="6325" t="str">
        <f>+'Phụ lục số 5'!J8:J9</f>
        <v>Chi đầu tư từ nguồn thu thoái vốn doanh nghiệp nhà nước địa phương quản lý;…</v>
      </c>
      <c r="K8" s="6325" t="str">
        <f>+'Phụ lục số 5'!K8:K9</f>
        <v xml:space="preserve">Chi đầu tư phát triển khác </v>
      </c>
      <c r="L8" s="430"/>
      <c r="M8" s="430"/>
      <c r="N8" s="430"/>
      <c r="O8" s="430"/>
      <c r="P8" s="6046"/>
      <c r="Q8" s="2239"/>
      <c r="R8" s="2239"/>
      <c r="S8" s="2239"/>
      <c r="T8" s="2239"/>
      <c r="U8" s="2239"/>
      <c r="V8" s="2239"/>
      <c r="W8" s="2239"/>
      <c r="X8" s="2239"/>
      <c r="Y8" s="2239"/>
      <c r="Z8" s="2239"/>
      <c r="AA8" s="2239"/>
      <c r="AB8" s="2239"/>
      <c r="AC8" s="2239"/>
      <c r="AD8" s="6046"/>
      <c r="AE8" s="6046"/>
      <c r="AF8" s="6046"/>
      <c r="AG8" s="6515"/>
      <c r="AH8" s="6046"/>
      <c r="AI8" s="2238"/>
      <c r="AJ8" s="2238"/>
      <c r="AK8" s="6046"/>
      <c r="AL8" s="6046"/>
      <c r="AM8" s="6513"/>
      <c r="AN8" s="6526"/>
    </row>
    <row r="9" spans="1:41" s="431" customFormat="1" ht="211.5" customHeight="1">
      <c r="A9" s="6520"/>
      <c r="B9" s="6046"/>
      <c r="C9" s="6046"/>
      <c r="D9" s="6046"/>
      <c r="E9" s="6336"/>
      <c r="F9" s="6336"/>
      <c r="G9" s="6517"/>
      <c r="H9" s="6336"/>
      <c r="I9" s="6517"/>
      <c r="J9" s="6336"/>
      <c r="K9" s="6336"/>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6"/>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6"/>
      <c r="AE9" s="6046"/>
      <c r="AF9" s="6046"/>
      <c r="AG9" s="6515"/>
      <c r="AH9" s="6046"/>
      <c r="AI9" s="430" t="s">
        <v>649</v>
      </c>
      <c r="AJ9" s="430" t="s">
        <v>650</v>
      </c>
      <c r="AK9" s="6046"/>
      <c r="AL9" s="6046"/>
      <c r="AM9" s="6341"/>
      <c r="AN9" s="6526"/>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L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ref="AM11:AN11" si="5">AM12+AM44+AM59+AM63+AM80</f>
        <v>0</v>
      </c>
      <c r="AN11" s="5958">
        <f t="shared" si="5"/>
        <v>0</v>
      </c>
    </row>
    <row r="12" spans="1:41" s="382" customFormat="1">
      <c r="A12" s="606" t="s">
        <v>3</v>
      </c>
      <c r="B12" s="607" t="s">
        <v>653</v>
      </c>
      <c r="C12" s="5954">
        <f>SUM(C13:C43)</f>
        <v>2982510.3296019998</v>
      </c>
      <c r="D12" s="5954">
        <f t="shared" ref="D12:K12" si="6">SUM(D13:D43)</f>
        <v>0</v>
      </c>
      <c r="E12" s="5954">
        <f t="shared" si="6"/>
        <v>0</v>
      </c>
      <c r="F12" s="5954">
        <f t="shared" si="6"/>
        <v>0</v>
      </c>
      <c r="G12" s="5959"/>
      <c r="H12" s="5954">
        <f t="shared" si="6"/>
        <v>0</v>
      </c>
      <c r="I12" s="5959"/>
      <c r="J12" s="5954"/>
      <c r="K12" s="5954">
        <f t="shared" si="6"/>
        <v>0</v>
      </c>
      <c r="L12" s="5954"/>
      <c r="M12" s="5954"/>
      <c r="N12" s="5954"/>
      <c r="O12" s="5954"/>
      <c r="P12" s="5957">
        <f>SUM(P13:P43)</f>
        <v>2857433.3296019998</v>
      </c>
      <c r="Q12" s="5957">
        <f>SUM(Q13:Q43)</f>
        <v>1080741.6000000001</v>
      </c>
      <c r="R12" s="5957">
        <f t="shared" ref="R12:V12" si="7">SUM(R13:R43)</f>
        <v>29624</v>
      </c>
      <c r="S12" s="5957">
        <f t="shared" si="7"/>
        <v>0</v>
      </c>
      <c r="T12" s="5957">
        <f t="shared" si="7"/>
        <v>0</v>
      </c>
      <c r="U12" s="5957">
        <f>SUM(U13:U43)</f>
        <v>624975.74300000002</v>
      </c>
      <c r="V12" s="5957">
        <f t="shared" si="7"/>
        <v>55631</v>
      </c>
      <c r="W12" s="5957">
        <f>SUM(W13:W43)</f>
        <v>22029</v>
      </c>
      <c r="X12" s="5957">
        <f t="shared" ref="X12:AL12" si="8">SUM(X13:X43)</f>
        <v>23615</v>
      </c>
      <c r="Y12" s="5957">
        <f t="shared" si="8"/>
        <v>79089</v>
      </c>
      <c r="Z12" s="5957">
        <f t="shared" si="8"/>
        <v>237940</v>
      </c>
      <c r="AA12" s="5957">
        <f t="shared" si="8"/>
        <v>635714.98660199996</v>
      </c>
      <c r="AB12" s="5957">
        <f>SUM(AB13:AB43)</f>
        <v>68073</v>
      </c>
      <c r="AC12" s="5954">
        <f t="shared" si="8"/>
        <v>0</v>
      </c>
      <c r="AD12" s="5954">
        <f t="shared" si="8"/>
        <v>0</v>
      </c>
      <c r="AE12" s="5954">
        <f t="shared" si="8"/>
        <v>0</v>
      </c>
      <c r="AF12" s="5954">
        <f t="shared" si="8"/>
        <v>0</v>
      </c>
      <c r="AG12" s="5954">
        <f t="shared" si="8"/>
        <v>0</v>
      </c>
      <c r="AH12" s="5954">
        <f t="shared" si="8"/>
        <v>125077</v>
      </c>
      <c r="AI12" s="5954">
        <f t="shared" si="8"/>
        <v>0</v>
      </c>
      <c r="AJ12" s="5954">
        <f t="shared" si="8"/>
        <v>125077</v>
      </c>
      <c r="AK12" s="5954">
        <f t="shared" si="8"/>
        <v>0</v>
      </c>
      <c r="AL12" s="5954">
        <f t="shared" si="8"/>
        <v>0</v>
      </c>
      <c r="AM12" s="5954">
        <f t="shared" ref="AM12:AN12" si="9">SUM(AM13:AM43)</f>
        <v>0</v>
      </c>
      <c r="AN12" s="5958">
        <f t="shared" si="9"/>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10">D14+P14+AD14+AE14+AH14+AL14+AF14+AG14+AK14+AN14</f>
        <v>16569</v>
      </c>
      <c r="D14" s="5120">
        <f t="shared" ref="D14:D43" si="11">SUM(E14:O14)</f>
        <v>0</v>
      </c>
      <c r="E14" s="5120"/>
      <c r="F14" s="5120"/>
      <c r="G14" s="5960"/>
      <c r="H14" s="5120"/>
      <c r="I14" s="5960"/>
      <c r="J14" s="5120"/>
      <c r="K14" s="5120"/>
      <c r="L14" s="5120"/>
      <c r="M14" s="5120"/>
      <c r="N14" s="5120"/>
      <c r="O14" s="5120"/>
      <c r="P14" s="5961">
        <f t="shared" ref="P14:P42" si="12">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3">SUM(AI14:AJ14)</f>
        <v>0</v>
      </c>
      <c r="AI14" s="4775">
        <f>+'Phụ lục số 5'!AI14</f>
        <v>0</v>
      </c>
      <c r="AJ14" s="4775">
        <f>+'Phụ lục số 5'!AJ14</f>
        <v>0</v>
      </c>
      <c r="AK14" s="5962"/>
      <c r="AL14" s="328"/>
      <c r="AM14" s="328"/>
      <c r="AN14" s="1656"/>
    </row>
    <row r="15" spans="1:41" s="596" customFormat="1">
      <c r="A15" s="603">
        <v>3</v>
      </c>
      <c r="B15" s="604" t="s">
        <v>656</v>
      </c>
      <c r="C15" s="5120">
        <f t="shared" si="10"/>
        <v>33575</v>
      </c>
      <c r="D15" s="5120">
        <f t="shared" si="11"/>
        <v>0</v>
      </c>
      <c r="E15" s="5120"/>
      <c r="F15" s="5120"/>
      <c r="G15" s="5960"/>
      <c r="H15" s="5120"/>
      <c r="I15" s="5960"/>
      <c r="J15" s="5120"/>
      <c r="K15" s="5120"/>
      <c r="L15" s="5120"/>
      <c r="M15" s="5120"/>
      <c r="N15" s="5120"/>
      <c r="O15" s="5120"/>
      <c r="P15" s="5961">
        <f t="shared" si="12"/>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3"/>
        <v>0</v>
      </c>
      <c r="AI15" s="4775">
        <f>+'Phụ lục số 5'!AI15</f>
        <v>0</v>
      </c>
      <c r="AJ15" s="4775">
        <f>+'Phụ lục số 5'!AJ15</f>
        <v>0</v>
      </c>
      <c r="AK15" s="5962"/>
      <c r="AL15" s="328"/>
      <c r="AM15" s="328"/>
      <c r="AN15" s="1656"/>
    </row>
    <row r="16" spans="1:41" s="596" customFormat="1">
      <c r="A16" s="603">
        <v>4</v>
      </c>
      <c r="B16" s="604" t="s">
        <v>657</v>
      </c>
      <c r="C16" s="5120">
        <f t="shared" si="10"/>
        <v>144887</v>
      </c>
      <c r="D16" s="5120">
        <f t="shared" si="11"/>
        <v>0</v>
      </c>
      <c r="E16" s="5120"/>
      <c r="F16" s="5120"/>
      <c r="G16" s="5960"/>
      <c r="H16" s="5120"/>
      <c r="I16" s="5960"/>
      <c r="J16" s="5120"/>
      <c r="K16" s="5120"/>
      <c r="L16" s="5120"/>
      <c r="M16" s="5120"/>
      <c r="N16" s="5120"/>
      <c r="O16" s="5120"/>
      <c r="P16" s="5961">
        <f t="shared" si="12"/>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3"/>
        <v>39225</v>
      </c>
      <c r="AI16" s="4775">
        <f>+'Phụ lục số 5'!AI16</f>
        <v>0</v>
      </c>
      <c r="AJ16" s="4775">
        <f>+'Phụ lục số 5'!AJ16</f>
        <v>39225</v>
      </c>
      <c r="AK16" s="5962"/>
      <c r="AL16" s="328"/>
      <c r="AM16" s="328"/>
      <c r="AN16" s="1656"/>
      <c r="AO16" s="597"/>
    </row>
    <row r="17" spans="1:40" s="596" customFormat="1">
      <c r="A17" s="603">
        <v>5</v>
      </c>
      <c r="B17" s="604" t="s">
        <v>658</v>
      </c>
      <c r="C17" s="5120">
        <f t="shared" si="10"/>
        <v>16569</v>
      </c>
      <c r="D17" s="5120">
        <f t="shared" si="11"/>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3"/>
        <v>610</v>
      </c>
      <c r="AI17" s="4775">
        <f>+'Phụ lục số 5'!AI17</f>
        <v>0</v>
      </c>
      <c r="AJ17" s="4775">
        <f>+'Phụ lục số 5'!AJ17</f>
        <v>610</v>
      </c>
      <c r="AK17" s="5962"/>
      <c r="AL17" s="328"/>
      <c r="AM17" s="328"/>
      <c r="AN17" s="1656"/>
    </row>
    <row r="18" spans="1:40" s="596" customFormat="1">
      <c r="A18" s="603">
        <v>6</v>
      </c>
      <c r="B18" s="604" t="s">
        <v>659</v>
      </c>
      <c r="C18" s="5120">
        <f t="shared" si="10"/>
        <v>22686</v>
      </c>
      <c r="D18" s="5120">
        <f t="shared" si="11"/>
        <v>0</v>
      </c>
      <c r="E18" s="5120"/>
      <c r="F18" s="5120"/>
      <c r="G18" s="5960"/>
      <c r="H18" s="5120"/>
      <c r="I18" s="5960"/>
      <c r="J18" s="5120"/>
      <c r="K18" s="5120"/>
      <c r="L18" s="5120"/>
      <c r="M18" s="5120"/>
      <c r="N18" s="5120"/>
      <c r="O18" s="5120"/>
      <c r="P18" s="5961">
        <f t="shared" si="12"/>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3"/>
        <v>0</v>
      </c>
      <c r="AI18" s="4775">
        <f>+'Phụ lục số 5'!AI18</f>
        <v>0</v>
      </c>
      <c r="AJ18" s="4775">
        <f>+'Phụ lục số 5'!AJ18</f>
        <v>0</v>
      </c>
      <c r="AK18" s="5962"/>
      <c r="AL18" s="328"/>
      <c r="AM18" s="328"/>
      <c r="AN18" s="1656"/>
    </row>
    <row r="19" spans="1:40" s="596" customFormat="1">
      <c r="A19" s="603">
        <v>7</v>
      </c>
      <c r="B19" s="604" t="s">
        <v>660</v>
      </c>
      <c r="C19" s="5120">
        <f t="shared" si="10"/>
        <v>56355</v>
      </c>
      <c r="D19" s="5120">
        <f t="shared" si="11"/>
        <v>0</v>
      </c>
      <c r="E19" s="5120"/>
      <c r="F19" s="5120"/>
      <c r="G19" s="5960"/>
      <c r="H19" s="5120"/>
      <c r="I19" s="5960"/>
      <c r="J19" s="5120"/>
      <c r="K19" s="5120"/>
      <c r="L19" s="5120"/>
      <c r="M19" s="5120"/>
      <c r="N19" s="5120"/>
      <c r="O19" s="5120"/>
      <c r="P19" s="5961">
        <f t="shared" si="12"/>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3"/>
        <v>0</v>
      </c>
      <c r="AI19" s="4775">
        <f>+'Phụ lục số 5'!AI19</f>
        <v>0</v>
      </c>
      <c r="AJ19" s="4775">
        <f>+'Phụ lục số 5'!AJ19</f>
        <v>0</v>
      </c>
      <c r="AK19" s="5962"/>
      <c r="AL19" s="328"/>
      <c r="AM19" s="328"/>
      <c r="AN19" s="1656"/>
    </row>
    <row r="20" spans="1:40" s="596" customFormat="1">
      <c r="A20" s="603">
        <v>8</v>
      </c>
      <c r="B20" s="604" t="s">
        <v>661</v>
      </c>
      <c r="C20" s="5120">
        <f t="shared" si="10"/>
        <v>10971</v>
      </c>
      <c r="D20" s="5120">
        <f t="shared" si="11"/>
        <v>0</v>
      </c>
      <c r="E20" s="5120"/>
      <c r="F20" s="5120"/>
      <c r="G20" s="5960"/>
      <c r="H20" s="5120"/>
      <c r="I20" s="5960"/>
      <c r="J20" s="5120"/>
      <c r="K20" s="5120"/>
      <c r="L20" s="5120"/>
      <c r="M20" s="5120"/>
      <c r="N20" s="5120"/>
      <c r="O20" s="5120"/>
      <c r="P20" s="5961">
        <f t="shared" si="12"/>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3"/>
        <v>0</v>
      </c>
      <c r="AI20" s="4775">
        <f>+'Phụ lục số 5'!AI20</f>
        <v>0</v>
      </c>
      <c r="AJ20" s="4775">
        <f>+'Phụ lục số 5'!AJ20</f>
        <v>0</v>
      </c>
      <c r="AK20" s="5962"/>
      <c r="AL20" s="328"/>
      <c r="AM20" s="328"/>
      <c r="AN20" s="1656"/>
    </row>
    <row r="21" spans="1:40" s="596" customFormat="1">
      <c r="A21" s="603">
        <v>9</v>
      </c>
      <c r="B21" s="604" t="s">
        <v>662</v>
      </c>
      <c r="C21" s="5120">
        <f t="shared" si="10"/>
        <v>19880</v>
      </c>
      <c r="D21" s="5120">
        <f t="shared" si="11"/>
        <v>0</v>
      </c>
      <c r="E21" s="5120"/>
      <c r="F21" s="5120"/>
      <c r="G21" s="5960"/>
      <c r="H21" s="5120"/>
      <c r="I21" s="5960"/>
      <c r="J21" s="5120"/>
      <c r="K21" s="5120"/>
      <c r="L21" s="5120"/>
      <c r="M21" s="5120"/>
      <c r="N21" s="5120"/>
      <c r="O21" s="5120"/>
      <c r="P21" s="5961">
        <f t="shared" si="12"/>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3"/>
        <v>0</v>
      </c>
      <c r="AI21" s="4775">
        <f>+'Phụ lục số 5'!AI21</f>
        <v>0</v>
      </c>
      <c r="AJ21" s="4775">
        <f>+'Phụ lục số 5'!AJ21</f>
        <v>0</v>
      </c>
      <c r="AK21" s="5962"/>
      <c r="AL21" s="328"/>
      <c r="AM21" s="328"/>
      <c r="AN21" s="1656"/>
    </row>
    <row r="22" spans="1:40" s="596" customFormat="1">
      <c r="A22" s="603">
        <v>10</v>
      </c>
      <c r="B22" s="604" t="s">
        <v>663</v>
      </c>
      <c r="C22" s="5120">
        <f t="shared" si="10"/>
        <v>637637</v>
      </c>
      <c r="D22" s="5120">
        <f t="shared" si="11"/>
        <v>0</v>
      </c>
      <c r="E22" s="5120"/>
      <c r="F22" s="5120"/>
      <c r="G22" s="5960"/>
      <c r="H22" s="5120"/>
      <c r="I22" s="5960"/>
      <c r="J22" s="5120"/>
      <c r="K22" s="5120"/>
      <c r="L22" s="5120"/>
      <c r="M22" s="5120"/>
      <c r="N22" s="5120"/>
      <c r="O22" s="5120"/>
      <c r="P22" s="5961">
        <f t="shared" si="12"/>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3"/>
        <v>0</v>
      </c>
      <c r="AI22" s="4775">
        <f>+'Phụ lục số 5'!AI22</f>
        <v>0</v>
      </c>
      <c r="AJ22" s="4775">
        <f>+'Phụ lục số 5'!AJ22</f>
        <v>0</v>
      </c>
      <c r="AK22" s="5962"/>
      <c r="AL22" s="328"/>
      <c r="AM22" s="328"/>
      <c r="AN22" s="1656"/>
    </row>
    <row r="23" spans="1:40" s="596" customFormat="1">
      <c r="A23" s="603">
        <v>11</v>
      </c>
      <c r="B23" s="604" t="s">
        <v>664</v>
      </c>
      <c r="C23" s="5120">
        <f t="shared" si="10"/>
        <v>22627</v>
      </c>
      <c r="D23" s="5120">
        <f t="shared" si="11"/>
        <v>0</v>
      </c>
      <c r="E23" s="5120"/>
      <c r="F23" s="5120"/>
      <c r="G23" s="5960"/>
      <c r="H23" s="5120"/>
      <c r="I23" s="5960"/>
      <c r="J23" s="5120"/>
      <c r="K23" s="5120"/>
      <c r="L23" s="5120"/>
      <c r="M23" s="5120"/>
      <c r="N23" s="5120"/>
      <c r="O23" s="5120"/>
      <c r="P23" s="5961">
        <f t="shared" si="12"/>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3"/>
        <v>450</v>
      </c>
      <c r="AI23" s="4775">
        <f>+'Phụ lục số 5'!AI23</f>
        <v>0</v>
      </c>
      <c r="AJ23" s="4775">
        <f>+'Phụ lục số 5'!AJ23</f>
        <v>450</v>
      </c>
      <c r="AK23" s="5962"/>
      <c r="AL23" s="328"/>
      <c r="AM23" s="328"/>
      <c r="AN23" s="1656"/>
    </row>
    <row r="24" spans="1:40" s="596" customFormat="1">
      <c r="A24" s="603">
        <v>12</v>
      </c>
      <c r="B24" s="604" t="s">
        <v>665</v>
      </c>
      <c r="C24" s="5120">
        <f t="shared" si="10"/>
        <v>18435</v>
      </c>
      <c r="D24" s="5120">
        <f t="shared" si="11"/>
        <v>0</v>
      </c>
      <c r="E24" s="5120"/>
      <c r="F24" s="5120"/>
      <c r="G24" s="5960"/>
      <c r="H24" s="5120"/>
      <c r="I24" s="5960"/>
      <c r="J24" s="5120"/>
      <c r="K24" s="5120"/>
      <c r="L24" s="5120"/>
      <c r="M24" s="5120"/>
      <c r="N24" s="5120"/>
      <c r="O24" s="5120"/>
      <c r="P24" s="5961">
        <f t="shared" si="12"/>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3"/>
        <v>0</v>
      </c>
      <c r="AI24" s="4775">
        <f>+'Phụ lục số 5'!AI24</f>
        <v>0</v>
      </c>
      <c r="AJ24" s="4775">
        <f>+'Phụ lục số 5'!AJ24</f>
        <v>0</v>
      </c>
      <c r="AK24" s="5962"/>
      <c r="AL24" s="328"/>
      <c r="AM24" s="328"/>
      <c r="AN24" s="1656"/>
    </row>
    <row r="25" spans="1:40" s="596" customFormat="1">
      <c r="A25" s="603">
        <v>13</v>
      </c>
      <c r="B25" s="604" t="s">
        <v>666</v>
      </c>
      <c r="C25" s="5120">
        <f t="shared" si="10"/>
        <v>37082</v>
      </c>
      <c r="D25" s="5120">
        <f t="shared" si="11"/>
        <v>0</v>
      </c>
      <c r="E25" s="5120"/>
      <c r="F25" s="5120"/>
      <c r="G25" s="5960"/>
      <c r="H25" s="5120"/>
      <c r="I25" s="5960"/>
      <c r="J25" s="5120"/>
      <c r="K25" s="5120"/>
      <c r="L25" s="5120"/>
      <c r="M25" s="5120"/>
      <c r="N25" s="5120"/>
      <c r="O25" s="5120"/>
      <c r="P25" s="5961">
        <f t="shared" si="12"/>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3"/>
        <v>500</v>
      </c>
      <c r="AI25" s="4775">
        <f>+'Phụ lục số 5'!AI25</f>
        <v>0</v>
      </c>
      <c r="AJ25" s="4775">
        <f>+'Phụ lục số 5'!AJ25</f>
        <v>500</v>
      </c>
      <c r="AK25" s="5962"/>
      <c r="AL25" s="328"/>
      <c r="AM25" s="328"/>
      <c r="AN25" s="1656"/>
    </row>
    <row r="26" spans="1:40" s="596" customFormat="1">
      <c r="A26" s="603">
        <v>14</v>
      </c>
      <c r="B26" s="604" t="s">
        <v>667</v>
      </c>
      <c r="C26" s="5120">
        <f t="shared" si="10"/>
        <v>834331</v>
      </c>
      <c r="D26" s="5120">
        <f t="shared" si="11"/>
        <v>0</v>
      </c>
      <c r="E26" s="5120"/>
      <c r="F26" s="5120"/>
      <c r="G26" s="5960"/>
      <c r="H26" s="5120"/>
      <c r="I26" s="5960"/>
      <c r="J26" s="5120"/>
      <c r="K26" s="5120"/>
      <c r="L26" s="5120"/>
      <c r="M26" s="5120"/>
      <c r="N26" s="5120"/>
      <c r="O26" s="5120"/>
      <c r="P26" s="5961">
        <f t="shared" si="12"/>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3"/>
        <v>0</v>
      </c>
      <c r="AI26" s="4775">
        <f>+'Phụ lục số 5'!AI26</f>
        <v>0</v>
      </c>
      <c r="AJ26" s="4775">
        <f>+'Phụ lục số 5'!AJ26</f>
        <v>0</v>
      </c>
      <c r="AK26" s="5962"/>
      <c r="AL26" s="328"/>
      <c r="AM26" s="328"/>
      <c r="AN26" s="1656"/>
    </row>
    <row r="27" spans="1:40" s="596" customFormat="1">
      <c r="A27" s="603">
        <v>15</v>
      </c>
      <c r="B27" s="604" t="s">
        <v>668</v>
      </c>
      <c r="C27" s="5120">
        <f t="shared" si="10"/>
        <v>50582</v>
      </c>
      <c r="D27" s="5120">
        <f t="shared" si="11"/>
        <v>0</v>
      </c>
      <c r="E27" s="5120"/>
      <c r="F27" s="5120"/>
      <c r="G27" s="5960"/>
      <c r="H27" s="5120"/>
      <c r="I27" s="5960"/>
      <c r="J27" s="5120"/>
      <c r="K27" s="5120"/>
      <c r="L27" s="5120"/>
      <c r="M27" s="5120"/>
      <c r="N27" s="5120"/>
      <c r="O27" s="5120"/>
      <c r="P27" s="4775">
        <f t="shared" si="12"/>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3"/>
        <v>0</v>
      </c>
      <c r="AI27" s="4775">
        <f>+'Phụ lục số 5'!AI27</f>
        <v>0</v>
      </c>
      <c r="AJ27" s="4775">
        <f>+'Phụ lục số 5'!AJ27</f>
        <v>0</v>
      </c>
      <c r="AK27" s="5962"/>
      <c r="AL27" s="328"/>
      <c r="AM27" s="328"/>
      <c r="AN27" s="1656"/>
    </row>
    <row r="28" spans="1:40" s="596" customFormat="1">
      <c r="A28" s="603">
        <v>16</v>
      </c>
      <c r="B28" s="604" t="s">
        <v>669</v>
      </c>
      <c r="C28" s="5120">
        <f t="shared" si="10"/>
        <v>159789</v>
      </c>
      <c r="D28" s="5120">
        <f t="shared" si="11"/>
        <v>0</v>
      </c>
      <c r="E28" s="5120"/>
      <c r="F28" s="5120"/>
      <c r="G28" s="5960"/>
      <c r="H28" s="5120"/>
      <c r="I28" s="5960"/>
      <c r="J28" s="5120"/>
      <c r="K28" s="5120"/>
      <c r="L28" s="5120"/>
      <c r="M28" s="5120"/>
      <c r="N28" s="5120"/>
      <c r="O28" s="5120"/>
      <c r="P28" s="4775">
        <f t="shared" si="12"/>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3"/>
        <v>0</v>
      </c>
      <c r="AI28" s="4775">
        <f>+'Phụ lục số 5'!AI28</f>
        <v>0</v>
      </c>
      <c r="AJ28" s="4775">
        <f>+'Phụ lục số 5'!AJ28</f>
        <v>0</v>
      </c>
      <c r="AK28" s="5962"/>
      <c r="AL28" s="328"/>
      <c r="AM28" s="328"/>
      <c r="AN28" s="1656"/>
    </row>
    <row r="29" spans="1:40" s="596" customFormat="1">
      <c r="A29" s="603">
        <v>17</v>
      </c>
      <c r="B29" s="604" t="s">
        <v>670</v>
      </c>
      <c r="C29" s="5120">
        <f t="shared" si="10"/>
        <v>58811</v>
      </c>
      <c r="D29" s="5120">
        <f t="shared" si="11"/>
        <v>0</v>
      </c>
      <c r="E29" s="5120"/>
      <c r="F29" s="5120"/>
      <c r="G29" s="5960"/>
      <c r="H29" s="5120"/>
      <c r="I29" s="5960"/>
      <c r="J29" s="5120"/>
      <c r="K29" s="5120"/>
      <c r="L29" s="5120"/>
      <c r="M29" s="5120"/>
      <c r="N29" s="5120"/>
      <c r="O29" s="5120"/>
      <c r="P29" s="4775">
        <f t="shared" si="12"/>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3"/>
        <v>500</v>
      </c>
      <c r="AI29" s="4775">
        <f>+'Phụ lục số 5'!AI29</f>
        <v>0</v>
      </c>
      <c r="AJ29" s="4775">
        <f>+'Phụ lục số 5'!AJ29</f>
        <v>500</v>
      </c>
      <c r="AK29" s="5962"/>
      <c r="AL29" s="328"/>
      <c r="AM29" s="328"/>
      <c r="AN29" s="1656"/>
    </row>
    <row r="30" spans="1:40" s="596" customFormat="1">
      <c r="A30" s="603">
        <v>18</v>
      </c>
      <c r="B30" s="604" t="s">
        <v>671</v>
      </c>
      <c r="C30" s="5120">
        <f t="shared" si="10"/>
        <v>122626</v>
      </c>
      <c r="D30" s="5120">
        <f t="shared" si="11"/>
        <v>0</v>
      </c>
      <c r="E30" s="5120"/>
      <c r="F30" s="5120"/>
      <c r="G30" s="5960"/>
      <c r="H30" s="5120"/>
      <c r="I30" s="5960"/>
      <c r="J30" s="5120"/>
      <c r="K30" s="5120"/>
      <c r="L30" s="5120"/>
      <c r="M30" s="5120"/>
      <c r="N30" s="5120"/>
      <c r="O30" s="5120"/>
      <c r="P30" s="4775">
        <f t="shared" si="12"/>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3"/>
        <v>60404</v>
      </c>
      <c r="AI30" s="4775">
        <f>+'Phụ lục số 5'!AI30</f>
        <v>0</v>
      </c>
      <c r="AJ30" s="4775">
        <f>+'Phụ lục số 5'!AJ30</f>
        <v>60404</v>
      </c>
      <c r="AK30" s="5962"/>
      <c r="AL30" s="328"/>
      <c r="AM30" s="328"/>
      <c r="AN30" s="1656"/>
    </row>
    <row r="31" spans="1:40" s="596" customFormat="1">
      <c r="A31" s="603">
        <v>19</v>
      </c>
      <c r="B31" s="604" t="s">
        <v>672</v>
      </c>
      <c r="C31" s="5120">
        <f t="shared" si="10"/>
        <v>169872</v>
      </c>
      <c r="D31" s="5120">
        <f t="shared" si="11"/>
        <v>0</v>
      </c>
      <c r="E31" s="5120"/>
      <c r="F31" s="5120"/>
      <c r="G31" s="5960"/>
      <c r="H31" s="5120"/>
      <c r="I31" s="5960"/>
      <c r="J31" s="5120"/>
      <c r="K31" s="5120"/>
      <c r="L31" s="5120"/>
      <c r="M31" s="5120"/>
      <c r="N31" s="5120"/>
      <c r="O31" s="5120"/>
      <c r="P31" s="4775">
        <f t="shared" si="12"/>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3"/>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10"/>
        <v>16270</v>
      </c>
      <c r="D32" s="5120">
        <f t="shared" si="11"/>
        <v>0</v>
      </c>
      <c r="E32" s="5120"/>
      <c r="F32" s="5120"/>
      <c r="G32" s="5960"/>
      <c r="H32" s="5120"/>
      <c r="I32" s="5960"/>
      <c r="J32" s="5120"/>
      <c r="K32" s="5120"/>
      <c r="L32" s="5120"/>
      <c r="M32" s="5120"/>
      <c r="N32" s="5120"/>
      <c r="O32" s="5120"/>
      <c r="P32" s="4775">
        <f t="shared" si="12"/>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3"/>
        <v>0</v>
      </c>
      <c r="AI32" s="4775">
        <f>+'Phụ lục số 5'!AI32</f>
        <v>0</v>
      </c>
      <c r="AJ32" s="4775">
        <f>+'Phụ lục số 5'!AJ32</f>
        <v>0</v>
      </c>
      <c r="AK32" s="5962"/>
      <c r="AL32" s="328"/>
      <c r="AM32" s="328"/>
      <c r="AN32" s="1656"/>
    </row>
    <row r="33" spans="1:41" s="596" customFormat="1">
      <c r="A33" s="603">
        <v>21</v>
      </c>
      <c r="B33" s="604" t="s">
        <v>674</v>
      </c>
      <c r="C33" s="5120">
        <f t="shared" si="10"/>
        <v>24710</v>
      </c>
      <c r="D33" s="5120">
        <f t="shared" si="11"/>
        <v>0</v>
      </c>
      <c r="E33" s="5120"/>
      <c r="F33" s="5120"/>
      <c r="G33" s="5960"/>
      <c r="H33" s="5120"/>
      <c r="I33" s="5960"/>
      <c r="J33" s="5120"/>
      <c r="K33" s="5120"/>
      <c r="L33" s="5120"/>
      <c r="M33" s="5120"/>
      <c r="N33" s="5120"/>
      <c r="O33" s="5120"/>
      <c r="P33" s="4775">
        <f t="shared" si="12"/>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3"/>
        <v>0</v>
      </c>
      <c r="AI33" s="4775">
        <f>+'Phụ lục số 5'!AI33</f>
        <v>0</v>
      </c>
      <c r="AJ33" s="4775">
        <f>+'Phụ lục số 5'!AJ33</f>
        <v>0</v>
      </c>
      <c r="AK33" s="5962"/>
      <c r="AL33" s="328"/>
      <c r="AM33" s="328"/>
      <c r="AN33" s="1656"/>
    </row>
    <row r="34" spans="1:41" s="596" customFormat="1">
      <c r="A34" s="603">
        <v>22</v>
      </c>
      <c r="B34" s="604" t="s">
        <v>675</v>
      </c>
      <c r="C34" s="5120">
        <f t="shared" si="10"/>
        <v>32129</v>
      </c>
      <c r="D34" s="5120">
        <f t="shared" si="11"/>
        <v>0</v>
      </c>
      <c r="E34" s="5120"/>
      <c r="F34" s="5120"/>
      <c r="G34" s="5960"/>
      <c r="H34" s="5120"/>
      <c r="I34" s="5960"/>
      <c r="J34" s="5120"/>
      <c r="K34" s="5120"/>
      <c r="L34" s="5120"/>
      <c r="M34" s="5120"/>
      <c r="N34" s="5120"/>
      <c r="O34" s="5120"/>
      <c r="P34" s="4775">
        <f t="shared" si="12"/>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3"/>
        <v>0</v>
      </c>
      <c r="AI34" s="4775">
        <f>+'Phụ lục số 5'!AI34</f>
        <v>0</v>
      </c>
      <c r="AJ34" s="4775">
        <f>+'Phụ lục số 5'!AJ34</f>
        <v>0</v>
      </c>
      <c r="AK34" s="5962"/>
      <c r="AL34" s="328"/>
      <c r="AM34" s="328"/>
      <c r="AN34" s="1656"/>
    </row>
    <row r="35" spans="1:41" s="596" customFormat="1">
      <c r="A35" s="603">
        <v>23</v>
      </c>
      <c r="B35" s="604" t="s">
        <v>676</v>
      </c>
      <c r="C35" s="5120">
        <f t="shared" si="10"/>
        <v>10534</v>
      </c>
      <c r="D35" s="5120">
        <f t="shared" si="11"/>
        <v>0</v>
      </c>
      <c r="E35" s="5120"/>
      <c r="F35" s="5120"/>
      <c r="G35" s="5960"/>
      <c r="H35" s="5120"/>
      <c r="I35" s="5960"/>
      <c r="J35" s="5120"/>
      <c r="K35" s="5120"/>
      <c r="L35" s="5120"/>
      <c r="M35" s="5120"/>
      <c r="N35" s="5120"/>
      <c r="O35" s="5120"/>
      <c r="P35" s="4775">
        <f t="shared" si="12"/>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3"/>
        <v>0</v>
      </c>
      <c r="AI35" s="4775">
        <f>+'Phụ lục số 5'!AI35</f>
        <v>0</v>
      </c>
      <c r="AJ35" s="4775">
        <f>+'Phụ lục số 5'!AJ35</f>
        <v>0</v>
      </c>
      <c r="AK35" s="5962"/>
      <c r="AL35" s="328"/>
      <c r="AM35" s="328"/>
      <c r="AN35" s="1656"/>
    </row>
    <row r="36" spans="1:41" s="596" customFormat="1">
      <c r="A36" s="603">
        <v>24</v>
      </c>
      <c r="B36" s="604" t="s">
        <v>677</v>
      </c>
      <c r="C36" s="5120">
        <f t="shared" si="10"/>
        <v>16765</v>
      </c>
      <c r="D36" s="5120">
        <f t="shared" si="11"/>
        <v>0</v>
      </c>
      <c r="E36" s="5120"/>
      <c r="F36" s="5120"/>
      <c r="G36" s="5960"/>
      <c r="H36" s="5120"/>
      <c r="I36" s="5960"/>
      <c r="J36" s="5120"/>
      <c r="K36" s="5120"/>
      <c r="L36" s="5120"/>
      <c r="M36" s="5120"/>
      <c r="N36" s="5120"/>
      <c r="O36" s="5120"/>
      <c r="P36" s="4775">
        <f t="shared" si="12"/>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3"/>
        <v>0</v>
      </c>
      <c r="AI36" s="4775">
        <f>+'Phụ lục số 5'!AI36</f>
        <v>0</v>
      </c>
      <c r="AJ36" s="4775">
        <f>+'Phụ lục số 5'!AJ36</f>
        <v>0</v>
      </c>
      <c r="AK36" s="5962"/>
      <c r="AL36" s="328"/>
      <c r="AM36" s="328"/>
      <c r="AN36" s="1656"/>
    </row>
    <row r="37" spans="1:41" s="596" customFormat="1">
      <c r="A37" s="603">
        <v>25</v>
      </c>
      <c r="B37" s="604" t="s">
        <v>678</v>
      </c>
      <c r="C37" s="5120">
        <f t="shared" si="10"/>
        <v>13825</v>
      </c>
      <c r="D37" s="5120">
        <f t="shared" si="11"/>
        <v>0</v>
      </c>
      <c r="E37" s="5120"/>
      <c r="F37" s="5120"/>
      <c r="G37" s="5960"/>
      <c r="H37" s="5120"/>
      <c r="I37" s="5960"/>
      <c r="J37" s="5120"/>
      <c r="K37" s="5120"/>
      <c r="L37" s="5120"/>
      <c r="M37" s="5120"/>
      <c r="N37" s="5120"/>
      <c r="O37" s="5120"/>
      <c r="P37" s="4775">
        <f t="shared" si="12"/>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3"/>
        <v>11047</v>
      </c>
      <c r="AI37" s="4775">
        <f>+'Phụ lục số 5'!AI37</f>
        <v>0</v>
      </c>
      <c r="AJ37" s="4775">
        <f>+'Phụ lục số 5'!AJ37</f>
        <v>11047</v>
      </c>
      <c r="AK37" s="5962"/>
      <c r="AL37" s="328"/>
      <c r="AM37" s="328"/>
      <c r="AN37" s="1656"/>
    </row>
    <row r="38" spans="1:41" s="596" customFormat="1" ht="36">
      <c r="A38" s="603">
        <v>26</v>
      </c>
      <c r="B38" s="604" t="s">
        <v>679</v>
      </c>
      <c r="C38" s="5120">
        <f t="shared" si="10"/>
        <v>38522</v>
      </c>
      <c r="D38" s="5120">
        <f t="shared" si="11"/>
        <v>0</v>
      </c>
      <c r="E38" s="5120"/>
      <c r="F38" s="5120"/>
      <c r="G38" s="5960"/>
      <c r="H38" s="5120"/>
      <c r="I38" s="5960"/>
      <c r="J38" s="5120"/>
      <c r="K38" s="5120"/>
      <c r="L38" s="5120"/>
      <c r="M38" s="5120"/>
      <c r="N38" s="5120"/>
      <c r="O38" s="5120"/>
      <c r="P38" s="4775">
        <f t="shared" si="12"/>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3"/>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10"/>
        <v>0</v>
      </c>
      <c r="D39" s="5120"/>
      <c r="E39" s="5120"/>
      <c r="F39" s="5120"/>
      <c r="G39" s="5960"/>
      <c r="H39" s="5120"/>
      <c r="I39" s="5960"/>
      <c r="J39" s="5120"/>
      <c r="K39" s="5120"/>
      <c r="L39" s="5120"/>
      <c r="M39" s="5120"/>
      <c r="N39" s="5120"/>
      <c r="O39" s="5120"/>
      <c r="P39" s="4775">
        <f t="shared" si="12"/>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10"/>
        <v>0</v>
      </c>
      <c r="D40" s="5120"/>
      <c r="E40" s="5120"/>
      <c r="F40" s="5120"/>
      <c r="G40" s="5960"/>
      <c r="H40" s="5120"/>
      <c r="I40" s="5960"/>
      <c r="J40" s="5120"/>
      <c r="K40" s="5120"/>
      <c r="L40" s="5120"/>
      <c r="M40" s="5120"/>
      <c r="N40" s="5120"/>
      <c r="O40" s="5120"/>
      <c r="P40" s="4775">
        <f t="shared" si="12"/>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10"/>
        <v>22478</v>
      </c>
      <c r="D41" s="5120">
        <f t="shared" si="11"/>
        <v>0</v>
      </c>
      <c r="E41" s="5120"/>
      <c r="F41" s="5120"/>
      <c r="G41" s="5960"/>
      <c r="H41" s="5120"/>
      <c r="I41" s="5960"/>
      <c r="J41" s="5120"/>
      <c r="K41" s="5120"/>
      <c r="L41" s="5120"/>
      <c r="M41" s="5120"/>
      <c r="N41" s="5120"/>
      <c r="O41" s="5120"/>
      <c r="P41" s="4775">
        <f t="shared" si="12"/>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3"/>
        <v>0</v>
      </c>
      <c r="AI41" s="4775">
        <f>+'Phụ lục số 5'!AI41</f>
        <v>0</v>
      </c>
      <c r="AJ41" s="4775">
        <f>+'Phụ lục số 5'!AJ41</f>
        <v>0</v>
      </c>
      <c r="AK41" s="5962"/>
      <c r="AL41" s="328"/>
      <c r="AM41" s="328"/>
      <c r="AN41" s="1656"/>
    </row>
    <row r="42" spans="1:41" s="596" customFormat="1">
      <c r="A42" s="603">
        <v>28</v>
      </c>
      <c r="B42" s="604" t="s">
        <v>681</v>
      </c>
      <c r="C42" s="5120">
        <f t="shared" si="10"/>
        <v>28621</v>
      </c>
      <c r="D42" s="5120">
        <f t="shared" si="11"/>
        <v>0</v>
      </c>
      <c r="E42" s="5120"/>
      <c r="F42" s="5120"/>
      <c r="G42" s="5960"/>
      <c r="H42" s="5120"/>
      <c r="I42" s="5960"/>
      <c r="J42" s="5120"/>
      <c r="K42" s="5120"/>
      <c r="L42" s="5120"/>
      <c r="M42" s="5120"/>
      <c r="N42" s="5120"/>
      <c r="O42" s="5120"/>
      <c r="P42" s="4775">
        <f t="shared" si="12"/>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3"/>
        <v>0</v>
      </c>
      <c r="AI42" s="4775">
        <f>+'Phụ lục số 5'!AI42</f>
        <v>0</v>
      </c>
      <c r="AJ42" s="4775">
        <f>+'Phụ lục số 5'!AJ42</f>
        <v>0</v>
      </c>
      <c r="AK42" s="5962"/>
      <c r="AL42" s="328"/>
      <c r="AM42" s="328"/>
      <c r="AN42" s="1656"/>
    </row>
    <row r="43" spans="1:41" s="596" customFormat="1" hidden="1">
      <c r="A43" s="603">
        <v>29</v>
      </c>
      <c r="B43" s="604"/>
      <c r="C43" s="5120">
        <f t="shared" si="10"/>
        <v>0</v>
      </c>
      <c r="D43" s="5120">
        <f t="shared" si="11"/>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3"/>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4">SUM(D45,D51)</f>
        <v>0</v>
      </c>
      <c r="E44" s="5966">
        <f t="shared" si="14"/>
        <v>0</v>
      </c>
      <c r="F44" s="5966">
        <f t="shared" si="14"/>
        <v>0</v>
      </c>
      <c r="G44" s="5967"/>
      <c r="H44" s="5966">
        <f t="shared" si="14"/>
        <v>0</v>
      </c>
      <c r="I44" s="5967"/>
      <c r="J44" s="5966"/>
      <c r="K44" s="5966">
        <f t="shared" si="14"/>
        <v>0</v>
      </c>
      <c r="L44" s="5966"/>
      <c r="M44" s="5966"/>
      <c r="N44" s="5966"/>
      <c r="O44" s="5966"/>
      <c r="P44" s="5966">
        <f>SUM(P45,P51)</f>
        <v>67277</v>
      </c>
      <c r="Q44" s="5966">
        <f t="shared" ref="Q44:AJ44" si="15">SUM(Q45,Q51)</f>
        <v>4762</v>
      </c>
      <c r="R44" s="5966">
        <f t="shared" si="15"/>
        <v>1683</v>
      </c>
      <c r="S44" s="5966">
        <f t="shared" si="15"/>
        <v>0</v>
      </c>
      <c r="T44" s="5966">
        <f t="shared" si="15"/>
        <v>0</v>
      </c>
      <c r="U44" s="5966">
        <f t="shared" si="15"/>
        <v>100</v>
      </c>
      <c r="V44" s="5966">
        <f t="shared" si="15"/>
        <v>0</v>
      </c>
      <c r="W44" s="5966">
        <f t="shared" si="15"/>
        <v>600</v>
      </c>
      <c r="X44" s="5966">
        <f t="shared" si="15"/>
        <v>0</v>
      </c>
      <c r="Y44" s="5966">
        <f t="shared" si="15"/>
        <v>0</v>
      </c>
      <c r="Z44" s="5966">
        <f t="shared" si="15"/>
        <v>728</v>
      </c>
      <c r="AA44" s="5966">
        <f t="shared" si="15"/>
        <v>59404</v>
      </c>
      <c r="AB44" s="5966">
        <f t="shared" si="15"/>
        <v>0</v>
      </c>
      <c r="AC44" s="5966">
        <f t="shared" si="15"/>
        <v>0</v>
      </c>
      <c r="AD44" s="5966">
        <f t="shared" si="15"/>
        <v>0</v>
      </c>
      <c r="AE44" s="5966">
        <f t="shared" si="15"/>
        <v>0</v>
      </c>
      <c r="AF44" s="5966">
        <f t="shared" si="15"/>
        <v>0</v>
      </c>
      <c r="AG44" s="5966">
        <f t="shared" si="15"/>
        <v>0</v>
      </c>
      <c r="AH44" s="5966">
        <f t="shared" si="15"/>
        <v>500</v>
      </c>
      <c r="AI44" s="5966">
        <f t="shared" si="15"/>
        <v>0</v>
      </c>
      <c r="AJ44" s="5966">
        <f t="shared" si="15"/>
        <v>500</v>
      </c>
      <c r="AK44" s="5966"/>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21"/>
      <c r="H45" s="1658">
        <f t="shared" si="16"/>
        <v>0</v>
      </c>
      <c r="I45" s="5121"/>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20">
        <f t="shared" ref="C46:C79" si="18">D46+P46+AD46+AE46+AH46+AL46+AF46+AG46+AK46+AN46</f>
        <v>10828</v>
      </c>
      <c r="D46" s="5120">
        <f t="shared" ref="D46:D56" si="19">SUM(E46:O46)</f>
        <v>0</v>
      </c>
      <c r="E46" s="5962"/>
      <c r="F46" s="5962"/>
      <c r="G46" s="5123"/>
      <c r="H46" s="5962"/>
      <c r="I46" s="5123"/>
      <c r="J46" s="5962"/>
      <c r="K46" s="5962"/>
      <c r="L46" s="5962"/>
      <c r="M46" s="5962"/>
      <c r="N46" s="5962"/>
      <c r="O46" s="5962"/>
      <c r="P46" s="4775">
        <f t="shared" ref="P46:P56" si="20">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8"/>
        <v>9018</v>
      </c>
      <c r="D47" s="5120">
        <f t="shared" si="19"/>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21">SUM(AI47:AJ47)</f>
        <v>0</v>
      </c>
      <c r="AI47" s="5962">
        <f>+'Phụ lục số 5'!AI53</f>
        <v>0</v>
      </c>
      <c r="AJ47" s="5962">
        <f>+'Phụ lục số 5'!AJ53</f>
        <v>0</v>
      </c>
      <c r="AK47" s="5962"/>
      <c r="AL47" s="328"/>
      <c r="AM47" s="328"/>
      <c r="AN47" s="1656"/>
    </row>
    <row r="48" spans="1:41" s="596" customFormat="1">
      <c r="A48" s="603">
        <f>A47+1</f>
        <v>31</v>
      </c>
      <c r="B48" s="604" t="s">
        <v>687</v>
      </c>
      <c r="C48" s="5120">
        <f t="shared" si="18"/>
        <v>8117</v>
      </c>
      <c r="D48" s="5120">
        <f t="shared" si="19"/>
        <v>0</v>
      </c>
      <c r="E48" s="5962"/>
      <c r="F48" s="5962"/>
      <c r="G48" s="5123"/>
      <c r="H48" s="5962"/>
      <c r="I48" s="5123"/>
      <c r="J48" s="5962"/>
      <c r="K48" s="5962"/>
      <c r="L48" s="5962"/>
      <c r="M48" s="5962"/>
      <c r="N48" s="5962"/>
      <c r="O48" s="5962"/>
      <c r="P48" s="4775">
        <f t="shared" si="20"/>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21"/>
        <v>0</v>
      </c>
      <c r="AI48" s="5962">
        <f>+'Phụ lục số 5'!AI54</f>
        <v>0</v>
      </c>
      <c r="AJ48" s="5962">
        <f>+'Phụ lục số 5'!AJ54</f>
        <v>0</v>
      </c>
      <c r="AK48" s="5962"/>
      <c r="AL48" s="328"/>
      <c r="AM48" s="328"/>
      <c r="AN48" s="1656"/>
    </row>
    <row r="49" spans="1:43" s="596" customFormat="1">
      <c r="A49" s="603">
        <f>A48+1</f>
        <v>32</v>
      </c>
      <c r="B49" s="604" t="s">
        <v>688</v>
      </c>
      <c r="C49" s="5120">
        <f t="shared" si="18"/>
        <v>6426</v>
      </c>
      <c r="D49" s="5120">
        <f t="shared" si="19"/>
        <v>0</v>
      </c>
      <c r="E49" s="5962"/>
      <c r="F49" s="5962"/>
      <c r="G49" s="5123"/>
      <c r="H49" s="5962"/>
      <c r="I49" s="5123"/>
      <c r="J49" s="5962"/>
      <c r="K49" s="5962"/>
      <c r="L49" s="5962"/>
      <c r="M49" s="5962"/>
      <c r="N49" s="5962"/>
      <c r="O49" s="5962"/>
      <c r="P49" s="4775">
        <f t="shared" si="20"/>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21"/>
        <v>0</v>
      </c>
      <c r="AI49" s="5962">
        <f>+'Phụ lục số 5'!AI55</f>
        <v>0</v>
      </c>
      <c r="AJ49" s="5962">
        <f>+'Phụ lục số 5'!AJ49</f>
        <v>0</v>
      </c>
      <c r="AK49" s="5962"/>
      <c r="AL49" s="328"/>
      <c r="AM49" s="328"/>
      <c r="AN49" s="1656"/>
    </row>
    <row r="50" spans="1:43" s="596" customFormat="1">
      <c r="A50" s="603">
        <f>A49+1</f>
        <v>33</v>
      </c>
      <c r="B50" s="604" t="s">
        <v>689</v>
      </c>
      <c r="C50" s="5120">
        <f t="shared" si="18"/>
        <v>3796</v>
      </c>
      <c r="D50" s="5120">
        <f t="shared" si="19"/>
        <v>0</v>
      </c>
      <c r="E50" s="5962"/>
      <c r="F50" s="5962"/>
      <c r="G50" s="5123"/>
      <c r="H50" s="5962"/>
      <c r="I50" s="5123"/>
      <c r="J50" s="5962"/>
      <c r="K50" s="5962"/>
      <c r="L50" s="5962"/>
      <c r="M50" s="5962"/>
      <c r="N50" s="5962"/>
      <c r="O50" s="5962"/>
      <c r="P50" s="4775">
        <f t="shared" si="20"/>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21"/>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2">SUM(D52:D58)</f>
        <v>0</v>
      </c>
      <c r="E51" s="1658">
        <f t="shared" si="22"/>
        <v>0</v>
      </c>
      <c r="F51" s="1658">
        <f t="shared" si="22"/>
        <v>0</v>
      </c>
      <c r="G51" s="5121"/>
      <c r="H51" s="1658">
        <f t="shared" si="22"/>
        <v>0</v>
      </c>
      <c r="I51" s="5121"/>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20">
        <f t="shared" si="18"/>
        <v>5327</v>
      </c>
      <c r="D52" s="5120">
        <f t="shared" si="19"/>
        <v>0</v>
      </c>
      <c r="E52" s="328"/>
      <c r="F52" s="328"/>
      <c r="G52" s="5122"/>
      <c r="H52" s="328"/>
      <c r="I52" s="5122"/>
      <c r="J52" s="328"/>
      <c r="K52" s="328"/>
      <c r="L52" s="328"/>
      <c r="M52" s="328"/>
      <c r="N52" s="328"/>
      <c r="O52" s="328"/>
      <c r="P52" s="4775">
        <f t="shared" si="20"/>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8"/>
        <v>4627</v>
      </c>
      <c r="D53" s="5120">
        <f t="shared" si="19"/>
        <v>0</v>
      </c>
      <c r="E53" s="328"/>
      <c r="F53" s="328"/>
      <c r="G53" s="5122"/>
      <c r="H53" s="328"/>
      <c r="I53" s="5122"/>
      <c r="J53" s="328"/>
      <c r="K53" s="328"/>
      <c r="L53" s="328"/>
      <c r="M53" s="328"/>
      <c r="N53" s="328"/>
      <c r="O53" s="328"/>
      <c r="P53" s="4775">
        <f t="shared" si="20"/>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4">SUM(AI53:AJ53)</f>
        <v>0</v>
      </c>
      <c r="AI53" s="5962">
        <f>+'Phụ lục số 5'!AI53</f>
        <v>0</v>
      </c>
      <c r="AJ53" s="5962">
        <f>+'Phụ lục số 5'!AJ53</f>
        <v>0</v>
      </c>
      <c r="AK53" s="328"/>
      <c r="AL53" s="328"/>
      <c r="AM53" s="328"/>
      <c r="AN53" s="1656"/>
    </row>
    <row r="54" spans="1:43" s="596" customFormat="1">
      <c r="A54" s="603">
        <v>37</v>
      </c>
      <c r="B54" s="604" t="s">
        <v>694</v>
      </c>
      <c r="C54" s="5120">
        <f t="shared" si="18"/>
        <v>3820</v>
      </c>
      <c r="D54" s="5120">
        <f t="shared" si="19"/>
        <v>0</v>
      </c>
      <c r="E54" s="328"/>
      <c r="F54" s="328"/>
      <c r="G54" s="5122"/>
      <c r="H54" s="328"/>
      <c r="I54" s="5122"/>
      <c r="J54" s="328"/>
      <c r="K54" s="328"/>
      <c r="L54" s="328"/>
      <c r="M54" s="328"/>
      <c r="N54" s="328"/>
      <c r="O54" s="328"/>
      <c r="P54" s="4775">
        <f t="shared" si="20"/>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4"/>
        <v>0</v>
      </c>
      <c r="AI54" s="5962">
        <f>+'Phụ lục số 5'!AI54</f>
        <v>0</v>
      </c>
      <c r="AJ54" s="5962">
        <f>+'Phụ lục số 5'!AJ54</f>
        <v>0</v>
      </c>
      <c r="AK54" s="328"/>
      <c r="AL54" s="328"/>
      <c r="AM54" s="328"/>
      <c r="AN54" s="1656"/>
    </row>
    <row r="55" spans="1:43" s="596" customFormat="1">
      <c r="A55" s="603">
        <v>38</v>
      </c>
      <c r="B55" s="604" t="s">
        <v>695</v>
      </c>
      <c r="C55" s="5120">
        <f t="shared" si="18"/>
        <v>8003</v>
      </c>
      <c r="D55" s="5120">
        <f t="shared" si="19"/>
        <v>0</v>
      </c>
      <c r="E55" s="328"/>
      <c r="F55" s="328"/>
      <c r="G55" s="5122"/>
      <c r="H55" s="328"/>
      <c r="I55" s="5122"/>
      <c r="J55" s="328"/>
      <c r="K55" s="328"/>
      <c r="L55" s="328"/>
      <c r="M55" s="328"/>
      <c r="N55" s="328"/>
      <c r="O55" s="328"/>
      <c r="P55" s="4775">
        <f t="shared" si="20"/>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4"/>
        <v>500</v>
      </c>
      <c r="AI55" s="5962">
        <f>+'Phụ lục số 5'!AI55</f>
        <v>0</v>
      </c>
      <c r="AJ55" s="5962">
        <f>+'Phụ lục số 5'!AJ55</f>
        <v>500</v>
      </c>
      <c r="AK55" s="328"/>
      <c r="AL55" s="328"/>
      <c r="AM55" s="328"/>
      <c r="AN55" s="1656"/>
    </row>
    <row r="56" spans="1:43" s="596" customFormat="1">
      <c r="A56" s="603">
        <v>39</v>
      </c>
      <c r="B56" s="604" t="s">
        <v>696</v>
      </c>
      <c r="C56" s="5120">
        <f t="shared" si="18"/>
        <v>7815</v>
      </c>
      <c r="D56" s="5120">
        <f t="shared" si="19"/>
        <v>0</v>
      </c>
      <c r="E56" s="328"/>
      <c r="F56" s="328"/>
      <c r="G56" s="5122"/>
      <c r="H56" s="328"/>
      <c r="I56" s="5122"/>
      <c r="J56" s="328"/>
      <c r="K56" s="328"/>
      <c r="L56" s="328"/>
      <c r="M56" s="328"/>
      <c r="N56" s="328"/>
      <c r="O56" s="328"/>
      <c r="P56" s="4775">
        <f t="shared" si="20"/>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4"/>
        <v>0</v>
      </c>
      <c r="AI56" s="5962">
        <f>+'Phụ lục số 5'!AI56</f>
        <v>0</v>
      </c>
      <c r="AJ56" s="5962">
        <f>+'Phụ lục số 5'!AJ56</f>
        <v>0</v>
      </c>
      <c r="AK56" s="328"/>
      <c r="AL56" s="328"/>
      <c r="AM56" s="328"/>
      <c r="AN56" s="1656"/>
    </row>
    <row r="57" spans="1:43" s="596" customFormat="1">
      <c r="A57" s="603">
        <v>40</v>
      </c>
      <c r="B57" s="604" t="s">
        <v>697</v>
      </c>
      <c r="C57" s="5120">
        <f t="shared" si="18"/>
        <v>0</v>
      </c>
      <c r="D57" s="328">
        <f t="shared" ref="D57:D112" si="25">SUM(E57:K57)</f>
        <v>0</v>
      </c>
      <c r="E57" s="328"/>
      <c r="F57" s="328"/>
      <c r="G57" s="5122"/>
      <c r="H57" s="328"/>
      <c r="I57" s="5122"/>
      <c r="J57" s="328"/>
      <c r="K57" s="328"/>
      <c r="L57" s="328"/>
      <c r="M57" s="328"/>
      <c r="N57" s="328"/>
      <c r="O57" s="328"/>
      <c r="P57" s="5962">
        <f t="shared" ref="P57:P58" si="26">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4"/>
        <v>0</v>
      </c>
      <c r="AI57" s="5962">
        <f>+'Phụ lục số 5'!AI57</f>
        <v>0</v>
      </c>
      <c r="AJ57" s="5962">
        <f>+'Phụ lục số 5'!AJ57</f>
        <v>0</v>
      </c>
      <c r="AK57" s="328"/>
      <c r="AL57" s="328"/>
      <c r="AM57" s="328"/>
      <c r="AN57" s="1656"/>
    </row>
    <row r="58" spans="1:43" s="596" customFormat="1">
      <c r="A58" s="603">
        <v>41</v>
      </c>
      <c r="B58" s="604" t="s">
        <v>698</v>
      </c>
      <c r="C58" s="5120">
        <f t="shared" si="18"/>
        <v>0</v>
      </c>
      <c r="D58" s="328">
        <f t="shared" si="25"/>
        <v>0</v>
      </c>
      <c r="E58" s="328"/>
      <c r="F58" s="328"/>
      <c r="G58" s="5122"/>
      <c r="H58" s="328"/>
      <c r="I58" s="5122"/>
      <c r="J58" s="328"/>
      <c r="K58" s="328"/>
      <c r="L58" s="328"/>
      <c r="M58" s="328"/>
      <c r="N58" s="328"/>
      <c r="O58" s="328"/>
      <c r="P58" s="5962">
        <f t="shared" si="26"/>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4"/>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7">SUM(D60:D62)</f>
        <v>0</v>
      </c>
      <c r="E59" s="5966">
        <f t="shared" si="27"/>
        <v>0</v>
      </c>
      <c r="F59" s="5966">
        <f t="shared" si="27"/>
        <v>0</v>
      </c>
      <c r="G59" s="5967"/>
      <c r="H59" s="5966">
        <f t="shared" si="27"/>
        <v>0</v>
      </c>
      <c r="I59" s="5967"/>
      <c r="J59" s="5966"/>
      <c r="K59" s="5966">
        <f t="shared" si="27"/>
        <v>0</v>
      </c>
      <c r="L59" s="5966"/>
      <c r="M59" s="5966"/>
      <c r="N59" s="5966"/>
      <c r="O59" s="5966"/>
      <c r="P59" s="5966">
        <f>SUM(P60:P62)</f>
        <v>160670</v>
      </c>
      <c r="Q59" s="5966">
        <f t="shared" ref="Q59:AJ59" si="28">SUM(Q60:Q62)</f>
        <v>6070</v>
      </c>
      <c r="R59" s="5966">
        <f t="shared" si="28"/>
        <v>0</v>
      </c>
      <c r="S59" s="5966">
        <f t="shared" si="28"/>
        <v>150000</v>
      </c>
      <c r="T59" s="5966">
        <f t="shared" si="28"/>
        <v>0</v>
      </c>
      <c r="U59" s="5966">
        <f t="shared" si="28"/>
        <v>4300</v>
      </c>
      <c r="V59" s="5966">
        <f t="shared" si="28"/>
        <v>0</v>
      </c>
      <c r="W59" s="5966">
        <f t="shared" si="28"/>
        <v>0</v>
      </c>
      <c r="X59" s="5966">
        <f t="shared" si="28"/>
        <v>0</v>
      </c>
      <c r="Y59" s="5966">
        <f t="shared" si="28"/>
        <v>300</v>
      </c>
      <c r="Z59" s="5966">
        <f t="shared" si="28"/>
        <v>0</v>
      </c>
      <c r="AA59" s="5966">
        <f t="shared" si="28"/>
        <v>0</v>
      </c>
      <c r="AB59" s="5966">
        <f t="shared" si="28"/>
        <v>0</v>
      </c>
      <c r="AC59" s="5966">
        <f t="shared" si="28"/>
        <v>0</v>
      </c>
      <c r="AD59" s="5966">
        <f t="shared" si="28"/>
        <v>0</v>
      </c>
      <c r="AE59" s="5966">
        <f t="shared" si="28"/>
        <v>0</v>
      </c>
      <c r="AF59" s="5966">
        <f t="shared" si="28"/>
        <v>0</v>
      </c>
      <c r="AG59" s="5966">
        <f t="shared" si="28"/>
        <v>0</v>
      </c>
      <c r="AH59" s="5966">
        <f t="shared" si="28"/>
        <v>0</v>
      </c>
      <c r="AI59" s="5966">
        <f t="shared" si="28"/>
        <v>0</v>
      </c>
      <c r="AJ59" s="5966">
        <f t="shared" si="28"/>
        <v>0</v>
      </c>
      <c r="AK59" s="5966"/>
      <c r="AL59" s="329"/>
      <c r="AM59" s="329"/>
      <c r="AN59" s="1657"/>
    </row>
    <row r="60" spans="1:43" s="596" customFormat="1">
      <c r="A60" s="603">
        <v>42</v>
      </c>
      <c r="B60" s="604" t="s">
        <v>700</v>
      </c>
      <c r="C60" s="5120">
        <f t="shared" si="18"/>
        <v>51300</v>
      </c>
      <c r="D60" s="5120">
        <f t="shared" ref="D60:D77" si="29">SUM(E60:O60)</f>
        <v>0</v>
      </c>
      <c r="E60" s="328"/>
      <c r="F60" s="328"/>
      <c r="G60" s="5122"/>
      <c r="H60" s="328"/>
      <c r="I60" s="5122"/>
      <c r="J60" s="328"/>
      <c r="K60" s="328"/>
      <c r="L60" s="328"/>
      <c r="M60" s="328"/>
      <c r="N60" s="328"/>
      <c r="O60" s="328"/>
      <c r="P60" s="4775">
        <f t="shared" ref="P60:P79" si="30">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8"/>
        <v>92870</v>
      </c>
      <c r="D61" s="5120">
        <f t="shared" si="29"/>
        <v>0</v>
      </c>
      <c r="E61" s="328"/>
      <c r="F61" s="328"/>
      <c r="G61" s="5122"/>
      <c r="H61" s="328"/>
      <c r="I61" s="5122"/>
      <c r="J61" s="328"/>
      <c r="K61" s="328"/>
      <c r="L61" s="328"/>
      <c r="M61" s="328"/>
      <c r="N61" s="328"/>
      <c r="O61" s="328"/>
      <c r="P61" s="4775">
        <f t="shared" si="30"/>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31">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8"/>
        <v>16500</v>
      </c>
      <c r="D62" s="5120">
        <f t="shared" si="29"/>
        <v>0</v>
      </c>
      <c r="E62" s="328"/>
      <c r="F62" s="328"/>
      <c r="G62" s="5122"/>
      <c r="H62" s="328"/>
      <c r="I62" s="5122"/>
      <c r="J62" s="328"/>
      <c r="K62" s="328"/>
      <c r="L62" s="328"/>
      <c r="M62" s="328"/>
      <c r="N62" s="328"/>
      <c r="O62" s="328"/>
      <c r="P62" s="4775">
        <f t="shared" si="30"/>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31"/>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2">SUM(D64:D77)</f>
        <v>0</v>
      </c>
      <c r="E63" s="5966">
        <f t="shared" si="32"/>
        <v>0</v>
      </c>
      <c r="F63" s="5966">
        <f t="shared" si="32"/>
        <v>0</v>
      </c>
      <c r="G63" s="5967"/>
      <c r="H63" s="5966">
        <f t="shared" si="32"/>
        <v>0</v>
      </c>
      <c r="I63" s="5967"/>
      <c r="J63" s="5966"/>
      <c r="K63" s="5966">
        <f t="shared" si="32"/>
        <v>0</v>
      </c>
      <c r="L63" s="5966"/>
      <c r="M63" s="5966"/>
      <c r="N63" s="5966"/>
      <c r="O63" s="5966">
        <f t="shared" si="32"/>
        <v>0</v>
      </c>
      <c r="P63" s="5966">
        <f>SUM(P64:P79)</f>
        <v>383595.2</v>
      </c>
      <c r="Q63" s="5966">
        <f t="shared" ref="Q63:AJ63" si="33">SUM(Q64:Q79)</f>
        <v>0</v>
      </c>
      <c r="R63" s="5966">
        <f t="shared" si="33"/>
        <v>0</v>
      </c>
      <c r="S63" s="5966">
        <f t="shared" si="33"/>
        <v>0</v>
      </c>
      <c r="T63" s="5966">
        <f t="shared" si="33"/>
        <v>0</v>
      </c>
      <c r="U63" s="5966">
        <f t="shared" si="33"/>
        <v>367885</v>
      </c>
      <c r="V63" s="5966">
        <f t="shared" si="33"/>
        <v>0</v>
      </c>
      <c r="W63" s="5966">
        <f t="shared" si="33"/>
        <v>9765</v>
      </c>
      <c r="X63" s="5966">
        <f t="shared" si="33"/>
        <v>0</v>
      </c>
      <c r="Y63" s="5966">
        <f t="shared" si="33"/>
        <v>0</v>
      </c>
      <c r="Z63" s="5966">
        <f t="shared" si="33"/>
        <v>0</v>
      </c>
      <c r="AA63" s="5966">
        <f t="shared" si="33"/>
        <v>0</v>
      </c>
      <c r="AB63" s="5966">
        <f t="shared" si="33"/>
        <v>0</v>
      </c>
      <c r="AC63" s="5966">
        <f t="shared" si="33"/>
        <v>5945.2</v>
      </c>
      <c r="AD63" s="5966">
        <f t="shared" si="33"/>
        <v>0</v>
      </c>
      <c r="AE63" s="5966">
        <f t="shared" si="33"/>
        <v>0</v>
      </c>
      <c r="AF63" s="5966">
        <f t="shared" si="33"/>
        <v>0</v>
      </c>
      <c r="AG63" s="5966">
        <f t="shared" si="33"/>
        <v>0</v>
      </c>
      <c r="AH63" s="5966">
        <f t="shared" si="33"/>
        <v>114476</v>
      </c>
      <c r="AI63" s="5966">
        <f t="shared" si="33"/>
        <v>0</v>
      </c>
      <c r="AJ63" s="5966">
        <f t="shared" si="33"/>
        <v>114476</v>
      </c>
      <c r="AK63" s="5966">
        <f t="shared" ref="AK63:AM63" si="34">SUM(AK64:AK79)</f>
        <v>0</v>
      </c>
      <c r="AL63" s="5966">
        <f t="shared" si="34"/>
        <v>0</v>
      </c>
      <c r="AM63" s="5966">
        <f t="shared" si="34"/>
        <v>0</v>
      </c>
      <c r="AN63" s="1657"/>
    </row>
    <row r="64" spans="1:43" s="596" customFormat="1">
      <c r="A64" s="603">
        <v>45</v>
      </c>
      <c r="B64" s="604" t="s">
        <v>704</v>
      </c>
      <c r="C64" s="5120">
        <f t="shared" si="18"/>
        <v>482201</v>
      </c>
      <c r="D64" s="5120">
        <f t="shared" si="29"/>
        <v>0</v>
      </c>
      <c r="E64" s="328"/>
      <c r="F64" s="328"/>
      <c r="G64" s="5122"/>
      <c r="H64" s="328"/>
      <c r="I64" s="5122"/>
      <c r="J64" s="328"/>
      <c r="K64" s="328"/>
      <c r="L64" s="328"/>
      <c r="M64" s="328"/>
      <c r="N64" s="328"/>
      <c r="O64" s="328"/>
      <c r="P64" s="4775">
        <f t="shared" si="30"/>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8"/>
        <v>0</v>
      </c>
      <c r="D65" s="5120">
        <f t="shared" si="29"/>
        <v>0</v>
      </c>
      <c r="E65" s="328"/>
      <c r="F65" s="328"/>
      <c r="G65" s="5122"/>
      <c r="H65" s="328"/>
      <c r="I65" s="5122"/>
      <c r="J65" s="328"/>
      <c r="K65" s="328"/>
      <c r="L65" s="328"/>
      <c r="M65" s="328"/>
      <c r="N65" s="328"/>
      <c r="O65" s="328"/>
      <c r="P65" s="4775">
        <f t="shared" si="30"/>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8"/>
        <v>1625</v>
      </c>
      <c r="D66" s="5120">
        <f t="shared" si="29"/>
        <v>0</v>
      </c>
      <c r="E66" s="328"/>
      <c r="F66" s="328"/>
      <c r="G66" s="5122"/>
      <c r="H66" s="328"/>
      <c r="I66" s="5122"/>
      <c r="J66" s="328"/>
      <c r="K66" s="328"/>
      <c r="L66" s="328"/>
      <c r="M66" s="328"/>
      <c r="N66" s="328"/>
      <c r="O66" s="328"/>
      <c r="P66" s="4775">
        <f t="shared" si="30"/>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5">SUM(AI66:AJ66)</f>
        <v>160</v>
      </c>
      <c r="AI66" s="5962">
        <f>'Phụ lục số 5'!AI66</f>
        <v>0</v>
      </c>
      <c r="AJ66" s="5962">
        <f>'Phụ lục số 5'!AJ66</f>
        <v>160</v>
      </c>
      <c r="AK66" s="328"/>
      <c r="AL66" s="328"/>
      <c r="AM66" s="328"/>
      <c r="AN66" s="1656"/>
    </row>
    <row r="67" spans="1:40" s="596" customFormat="1">
      <c r="A67" s="603">
        <v>48</v>
      </c>
      <c r="B67" s="610" t="s">
        <v>707</v>
      </c>
      <c r="C67" s="5120">
        <f t="shared" si="18"/>
        <v>610</v>
      </c>
      <c r="D67" s="5120">
        <f t="shared" si="29"/>
        <v>0</v>
      </c>
      <c r="E67" s="328"/>
      <c r="F67" s="328"/>
      <c r="G67" s="5122"/>
      <c r="H67" s="328"/>
      <c r="I67" s="5122"/>
      <c r="J67" s="328"/>
      <c r="K67" s="328"/>
      <c r="L67" s="328"/>
      <c r="M67" s="328"/>
      <c r="N67" s="328"/>
      <c r="O67" s="328"/>
      <c r="P67" s="4775">
        <f t="shared" si="30"/>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5"/>
        <v>0</v>
      </c>
      <c r="AI67" s="5962">
        <f>'Phụ lục số 5'!AI67</f>
        <v>0</v>
      </c>
      <c r="AJ67" s="5962">
        <f>'Phụ lục số 5'!AJ67</f>
        <v>0</v>
      </c>
      <c r="AK67" s="328"/>
      <c r="AL67" s="328"/>
      <c r="AM67" s="328"/>
      <c r="AN67" s="1656"/>
    </row>
    <row r="68" spans="1:40" s="596" customFormat="1" ht="36">
      <c r="A68" s="603">
        <v>49</v>
      </c>
      <c r="B68" s="610" t="s">
        <v>708</v>
      </c>
      <c r="C68" s="5120">
        <f t="shared" si="18"/>
        <v>530</v>
      </c>
      <c r="D68" s="5120">
        <f t="shared" si="29"/>
        <v>0</v>
      </c>
      <c r="E68" s="328"/>
      <c r="F68" s="328"/>
      <c r="G68" s="5122"/>
      <c r="H68" s="328"/>
      <c r="I68" s="5122"/>
      <c r="J68" s="328"/>
      <c r="K68" s="328"/>
      <c r="L68" s="328"/>
      <c r="M68" s="328"/>
      <c r="N68" s="328"/>
      <c r="O68" s="328"/>
      <c r="P68" s="4775">
        <f t="shared" si="30"/>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5"/>
        <v>0</v>
      </c>
      <c r="AI68" s="5962">
        <f>'Phụ lục số 5'!AI68</f>
        <v>0</v>
      </c>
      <c r="AJ68" s="5962">
        <f>'Phụ lục số 5'!AJ68</f>
        <v>0</v>
      </c>
      <c r="AK68" s="328"/>
      <c r="AL68" s="328"/>
      <c r="AM68" s="328"/>
      <c r="AN68" s="1656"/>
    </row>
    <row r="69" spans="1:40" s="596" customFormat="1">
      <c r="A69" s="603">
        <v>50</v>
      </c>
      <c r="B69" s="610" t="s">
        <v>709</v>
      </c>
      <c r="C69" s="5120">
        <f t="shared" si="18"/>
        <v>550</v>
      </c>
      <c r="D69" s="5120">
        <f t="shared" si="29"/>
        <v>0</v>
      </c>
      <c r="E69" s="328"/>
      <c r="F69" s="328"/>
      <c r="G69" s="5122"/>
      <c r="H69" s="328"/>
      <c r="I69" s="5122"/>
      <c r="J69" s="328"/>
      <c r="K69" s="328"/>
      <c r="L69" s="328"/>
      <c r="M69" s="328"/>
      <c r="N69" s="328"/>
      <c r="O69" s="328"/>
      <c r="P69" s="4775">
        <f t="shared" si="30"/>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5"/>
        <v>0</v>
      </c>
      <c r="AI69" s="5962">
        <f>'Phụ lục số 5'!AI69</f>
        <v>0</v>
      </c>
      <c r="AJ69" s="5962">
        <f>'Phụ lục số 5'!AJ69</f>
        <v>0</v>
      </c>
      <c r="AK69" s="328"/>
      <c r="AL69" s="328"/>
      <c r="AM69" s="328"/>
      <c r="AN69" s="1656"/>
    </row>
    <row r="70" spans="1:40" s="596" customFormat="1">
      <c r="A70" s="603">
        <v>51</v>
      </c>
      <c r="B70" s="610" t="s">
        <v>710</v>
      </c>
      <c r="C70" s="5120">
        <f t="shared" si="18"/>
        <v>435</v>
      </c>
      <c r="D70" s="5120">
        <f t="shared" si="29"/>
        <v>0</v>
      </c>
      <c r="E70" s="328"/>
      <c r="F70" s="328"/>
      <c r="G70" s="5122"/>
      <c r="H70" s="328"/>
      <c r="I70" s="5122"/>
      <c r="J70" s="328"/>
      <c r="K70" s="328"/>
      <c r="L70" s="328"/>
      <c r="M70" s="328"/>
      <c r="N70" s="328"/>
      <c r="O70" s="328"/>
      <c r="P70" s="4775">
        <f t="shared" si="30"/>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5"/>
        <v>0</v>
      </c>
      <c r="AI70" s="5962">
        <f>'Phụ lục số 5'!AI70</f>
        <v>0</v>
      </c>
      <c r="AJ70" s="5962">
        <f>'Phụ lục số 5'!AJ70</f>
        <v>0</v>
      </c>
      <c r="AK70" s="328"/>
      <c r="AL70" s="328"/>
      <c r="AM70" s="328"/>
      <c r="AN70" s="1656"/>
    </row>
    <row r="71" spans="1:40" s="596" customFormat="1">
      <c r="A71" s="603">
        <v>52</v>
      </c>
      <c r="B71" s="610" t="s">
        <v>711</v>
      </c>
      <c r="C71" s="5120">
        <f t="shared" si="18"/>
        <v>676</v>
      </c>
      <c r="D71" s="5120">
        <f t="shared" si="29"/>
        <v>0</v>
      </c>
      <c r="E71" s="328"/>
      <c r="F71" s="328"/>
      <c r="G71" s="5122"/>
      <c r="H71" s="328"/>
      <c r="I71" s="5122"/>
      <c r="J71" s="328"/>
      <c r="K71" s="328"/>
      <c r="L71" s="328"/>
      <c r="M71" s="328"/>
      <c r="N71" s="328"/>
      <c r="O71" s="328"/>
      <c r="P71" s="4775">
        <f t="shared" si="30"/>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5"/>
        <v>0</v>
      </c>
      <c r="AI71" s="5962">
        <f>'Phụ lục số 5'!AI71</f>
        <v>0</v>
      </c>
      <c r="AJ71" s="5962">
        <f>'Phụ lục số 5'!AJ71</f>
        <v>0</v>
      </c>
      <c r="AK71" s="328"/>
      <c r="AL71" s="328"/>
      <c r="AM71" s="328"/>
      <c r="AN71" s="1656"/>
    </row>
    <row r="72" spans="1:40" s="596" customFormat="1">
      <c r="A72" s="603">
        <v>53</v>
      </c>
      <c r="B72" s="610" t="s">
        <v>712</v>
      </c>
      <c r="C72" s="5120">
        <f t="shared" si="18"/>
        <v>729.2</v>
      </c>
      <c r="D72" s="5120">
        <f t="shared" si="29"/>
        <v>0</v>
      </c>
      <c r="E72" s="328"/>
      <c r="F72" s="328"/>
      <c r="G72" s="5122"/>
      <c r="H72" s="328"/>
      <c r="I72" s="5122"/>
      <c r="J72" s="328"/>
      <c r="K72" s="328"/>
      <c r="L72" s="328"/>
      <c r="M72" s="328"/>
      <c r="N72" s="328"/>
      <c r="O72" s="328"/>
      <c r="P72" s="4775">
        <f t="shared" si="30"/>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5"/>
        <v>0</v>
      </c>
      <c r="AI72" s="5962">
        <f>'Phụ lục số 5'!AI72</f>
        <v>0</v>
      </c>
      <c r="AJ72" s="5962">
        <f>'Phụ lục số 5'!AJ72</f>
        <v>0</v>
      </c>
      <c r="AK72" s="328"/>
      <c r="AL72" s="328"/>
      <c r="AM72" s="328"/>
      <c r="AN72" s="1656"/>
    </row>
    <row r="73" spans="1:40" s="596" customFormat="1">
      <c r="A73" s="603">
        <v>54</v>
      </c>
      <c r="B73" s="610" t="s">
        <v>713</v>
      </c>
      <c r="C73" s="5120">
        <f t="shared" si="18"/>
        <v>150</v>
      </c>
      <c r="D73" s="5120">
        <f t="shared" si="29"/>
        <v>0</v>
      </c>
      <c r="E73" s="328"/>
      <c r="F73" s="328"/>
      <c r="G73" s="5122"/>
      <c r="H73" s="328"/>
      <c r="I73" s="5122"/>
      <c r="J73" s="328"/>
      <c r="K73" s="328"/>
      <c r="L73" s="328"/>
      <c r="M73" s="328"/>
      <c r="N73" s="328"/>
      <c r="O73" s="328"/>
      <c r="P73" s="4775">
        <f t="shared" si="30"/>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5"/>
        <v>0</v>
      </c>
      <c r="AI73" s="5962">
        <f>'Phụ lục số 5'!AI73</f>
        <v>0</v>
      </c>
      <c r="AJ73" s="5962">
        <f>'Phụ lục số 5'!AJ73</f>
        <v>0</v>
      </c>
      <c r="AK73" s="328"/>
      <c r="AL73" s="328"/>
      <c r="AM73" s="328"/>
      <c r="AN73" s="1656"/>
    </row>
    <row r="74" spans="1:40" s="596" customFormat="1">
      <c r="A74" s="603">
        <v>55</v>
      </c>
      <c r="B74" s="610" t="s">
        <v>714</v>
      </c>
      <c r="C74" s="5120">
        <f t="shared" si="18"/>
        <v>300</v>
      </c>
      <c r="D74" s="5120">
        <f t="shared" si="29"/>
        <v>0</v>
      </c>
      <c r="E74" s="328"/>
      <c r="F74" s="328"/>
      <c r="G74" s="5122"/>
      <c r="H74" s="328"/>
      <c r="I74" s="5122"/>
      <c r="J74" s="328"/>
      <c r="K74" s="328"/>
      <c r="L74" s="328"/>
      <c r="M74" s="328"/>
      <c r="N74" s="328"/>
      <c r="O74" s="328"/>
      <c r="P74" s="4775">
        <f t="shared" si="30"/>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5"/>
        <v>0</v>
      </c>
      <c r="AI74" s="5962">
        <f>'Phụ lục số 5'!AI74</f>
        <v>0</v>
      </c>
      <c r="AJ74" s="5962">
        <f>'Phụ lục số 5'!AJ74</f>
        <v>0</v>
      </c>
      <c r="AK74" s="328"/>
      <c r="AL74" s="328"/>
      <c r="AM74" s="328"/>
      <c r="AN74" s="1656"/>
    </row>
    <row r="75" spans="1:40" s="596" customFormat="1">
      <c r="A75" s="603">
        <v>56</v>
      </c>
      <c r="B75" s="610" t="s">
        <v>715</v>
      </c>
      <c r="C75" s="5120">
        <f t="shared" si="18"/>
        <v>0</v>
      </c>
      <c r="D75" s="5120">
        <f t="shared" si="29"/>
        <v>0</v>
      </c>
      <c r="E75" s="328"/>
      <c r="F75" s="328"/>
      <c r="G75" s="5122"/>
      <c r="H75" s="328"/>
      <c r="I75" s="5122"/>
      <c r="J75" s="328"/>
      <c r="K75" s="328"/>
      <c r="L75" s="328"/>
      <c r="M75" s="328"/>
      <c r="N75" s="328"/>
      <c r="O75" s="328"/>
      <c r="P75" s="4775">
        <f t="shared" si="30"/>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5"/>
        <v>0</v>
      </c>
      <c r="AI75" s="5962">
        <f>'Phụ lục số 5'!AI75</f>
        <v>0</v>
      </c>
      <c r="AJ75" s="5962">
        <f>'Phụ lục số 5'!AJ75</f>
        <v>0</v>
      </c>
      <c r="AK75" s="328"/>
      <c r="AL75" s="328"/>
      <c r="AM75" s="328"/>
      <c r="AN75" s="1656"/>
    </row>
    <row r="76" spans="1:40" s="596" customFormat="1">
      <c r="A76" s="603">
        <v>57</v>
      </c>
      <c r="B76" s="610" t="s">
        <v>716</v>
      </c>
      <c r="C76" s="5120">
        <f t="shared" si="18"/>
        <v>300</v>
      </c>
      <c r="D76" s="5120">
        <f t="shared" si="29"/>
        <v>0</v>
      </c>
      <c r="E76" s="328"/>
      <c r="F76" s="328"/>
      <c r="G76" s="5122"/>
      <c r="H76" s="328"/>
      <c r="I76" s="5122"/>
      <c r="J76" s="328"/>
      <c r="K76" s="328"/>
      <c r="L76" s="328"/>
      <c r="M76" s="328"/>
      <c r="N76" s="328"/>
      <c r="O76" s="328"/>
      <c r="P76" s="4775">
        <f t="shared" si="30"/>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5"/>
        <v>0</v>
      </c>
      <c r="AI76" s="5962">
        <f>'Phụ lục số 5'!AI76</f>
        <v>0</v>
      </c>
      <c r="AJ76" s="5962">
        <f>'Phụ lục số 5'!AJ76</f>
        <v>0</v>
      </c>
      <c r="AK76" s="328"/>
      <c r="AL76" s="328"/>
      <c r="AM76" s="328"/>
      <c r="AN76" s="1656"/>
    </row>
    <row r="77" spans="1:40" s="596" customFormat="1">
      <c r="A77" s="603">
        <v>58</v>
      </c>
      <c r="B77" s="610" t="s">
        <v>717</v>
      </c>
      <c r="C77" s="5120">
        <f t="shared" si="18"/>
        <v>200</v>
      </c>
      <c r="D77" s="5120">
        <f t="shared" si="29"/>
        <v>0</v>
      </c>
      <c r="E77" s="328"/>
      <c r="F77" s="328"/>
      <c r="G77" s="5122"/>
      <c r="H77" s="328"/>
      <c r="I77" s="5122"/>
      <c r="J77" s="328"/>
      <c r="K77" s="328"/>
      <c r="L77" s="328"/>
      <c r="M77" s="328"/>
      <c r="N77" s="328"/>
      <c r="O77" s="328"/>
      <c r="P77" s="4775">
        <f t="shared" si="30"/>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5"/>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8"/>
        <v>0</v>
      </c>
      <c r="D78" s="5120"/>
      <c r="E78" s="328"/>
      <c r="F78" s="328"/>
      <c r="G78" s="5122"/>
      <c r="H78" s="328"/>
      <c r="I78" s="5122"/>
      <c r="J78" s="328"/>
      <c r="K78" s="328"/>
      <c r="L78" s="328"/>
      <c r="M78" s="328"/>
      <c r="N78" s="328"/>
      <c r="O78" s="328"/>
      <c r="P78" s="4775">
        <f t="shared" si="30"/>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8"/>
        <v>9765</v>
      </c>
      <c r="D79" s="5120"/>
      <c r="E79" s="328"/>
      <c r="F79" s="328"/>
      <c r="G79" s="5122"/>
      <c r="H79" s="328"/>
      <c r="I79" s="5122"/>
      <c r="J79" s="328"/>
      <c r="K79" s="328"/>
      <c r="L79" s="328"/>
      <c r="M79" s="328"/>
      <c r="N79" s="328"/>
      <c r="O79" s="328"/>
      <c r="P79" s="4775">
        <f t="shared" si="30"/>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6">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6"/>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7">D82+P82+AD82+AE82+AH82+AL82+AF82+AG82+AK82+AN82</f>
        <v>12636.937382673808</v>
      </c>
      <c r="D82" s="5120">
        <f t="shared" ref="D82:D84" si="38">SUM(E82:O82)</f>
        <v>0</v>
      </c>
      <c r="E82" s="328"/>
      <c r="F82" s="328"/>
      <c r="G82" s="5122"/>
      <c r="H82" s="328"/>
      <c r="I82" s="5122"/>
      <c r="J82" s="328"/>
      <c r="K82" s="328"/>
      <c r="L82" s="328"/>
      <c r="M82" s="328"/>
      <c r="N82" s="328"/>
      <c r="O82" s="328"/>
      <c r="P82" s="5962">
        <f t="shared" si="36"/>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9">SUM(AI82:AJ82)</f>
        <v>0</v>
      </c>
      <c r="AI82" s="328"/>
      <c r="AJ82" s="328">
        <f>+'Phụ lục số 5'!AJ82</f>
        <v>0</v>
      </c>
      <c r="AK82" s="328"/>
      <c r="AL82" s="328"/>
      <c r="AM82" s="328"/>
      <c r="AN82" s="1656"/>
    </row>
    <row r="83" spans="1:40" s="380" customFormat="1" ht="34.799999999999997">
      <c r="A83" s="2977">
        <v>2</v>
      </c>
      <c r="B83" s="5974" t="s">
        <v>1697</v>
      </c>
      <c r="C83" s="5128">
        <f t="shared" ref="C83:C124" si="40">D83+P83+AD83+AE83+AH83+AL83+AF83+AG83+AK83</f>
        <v>0</v>
      </c>
      <c r="D83" s="5128">
        <f t="shared" si="38"/>
        <v>0</v>
      </c>
      <c r="E83" s="329"/>
      <c r="F83" s="329"/>
      <c r="G83" s="5125"/>
      <c r="H83" s="329"/>
      <c r="I83" s="5125"/>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7"/>
        <v>0</v>
      </c>
      <c r="D84" s="5120">
        <f t="shared" si="38"/>
        <v>0</v>
      </c>
      <c r="E84" s="5122"/>
      <c r="F84" s="5122"/>
      <c r="G84" s="5122"/>
      <c r="H84" s="5122"/>
      <c r="I84" s="5122"/>
      <c r="J84" s="5122"/>
      <c r="K84" s="5122"/>
      <c r="L84" s="5122"/>
      <c r="M84" s="5122"/>
      <c r="N84" s="5122"/>
      <c r="O84" s="5122"/>
      <c r="P84" s="5123">
        <f t="shared" si="36"/>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40"/>
        <v>0</v>
      </c>
      <c r="D85" s="329">
        <f>SUM(E85:K85)</f>
        <v>0</v>
      </c>
      <c r="E85" s="329"/>
      <c r="F85" s="329"/>
      <c r="G85" s="5125"/>
      <c r="H85" s="329"/>
      <c r="I85" s="5125"/>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7"/>
        <v>0</v>
      </c>
      <c r="D86" s="5122">
        <f t="shared" ref="D86" si="41">SUM(E86:K86)</f>
        <v>0</v>
      </c>
      <c r="E86" s="5122"/>
      <c r="F86" s="5122"/>
      <c r="G86" s="5122"/>
      <c r="H86" s="5122"/>
      <c r="I86" s="5122"/>
      <c r="J86" s="5122"/>
      <c r="K86" s="5122"/>
      <c r="L86" s="5122"/>
      <c r="M86" s="5122"/>
      <c r="N86" s="5122"/>
      <c r="O86" s="5122"/>
      <c r="P86" s="5123">
        <f t="shared" si="36"/>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40"/>
        <v>0</v>
      </c>
      <c r="D87" s="5125"/>
      <c r="E87" s="5125"/>
      <c r="F87" s="5125"/>
      <c r="G87" s="5125"/>
      <c r="H87" s="5125"/>
      <c r="I87" s="5125"/>
      <c r="J87" s="5125"/>
      <c r="K87" s="5125"/>
      <c r="L87" s="5125"/>
      <c r="M87" s="5125"/>
      <c r="N87" s="5125"/>
      <c r="O87" s="5125"/>
      <c r="P87" s="5121">
        <f t="shared" si="36"/>
        <v>0</v>
      </c>
      <c r="Q87" s="5121"/>
      <c r="R87" s="5121">
        <f t="shared" ref="R87" si="42">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7"/>
        <v>0</v>
      </c>
      <c r="D88" s="5122"/>
      <c r="E88" s="5122"/>
      <c r="F88" s="5122"/>
      <c r="G88" s="5122"/>
      <c r="H88" s="5122"/>
      <c r="I88" s="5122"/>
      <c r="J88" s="5122"/>
      <c r="K88" s="5122"/>
      <c r="L88" s="5122"/>
      <c r="M88" s="5122"/>
      <c r="N88" s="5122"/>
      <c r="O88" s="5122"/>
      <c r="P88" s="5123">
        <f t="shared" si="36"/>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6"/>
        <v>0.25699999998323619</v>
      </c>
      <c r="Q89" s="5121"/>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7"/>
        <v>0.25699999998323619</v>
      </c>
      <c r="D90" s="5122"/>
      <c r="E90" s="5122"/>
      <c r="F90" s="5122"/>
      <c r="G90" s="5122"/>
      <c r="H90" s="5122"/>
      <c r="I90" s="5122"/>
      <c r="J90" s="5122"/>
      <c r="K90" s="5122"/>
      <c r="L90" s="5122"/>
      <c r="M90" s="5122"/>
      <c r="N90" s="5122"/>
      <c r="O90" s="5122"/>
      <c r="P90" s="5123">
        <f t="shared" si="36"/>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9"/>
        <v>0</v>
      </c>
      <c r="AI90" s="5122"/>
      <c r="AJ90" s="5122"/>
      <c r="AK90" s="5122"/>
      <c r="AL90" s="5122"/>
      <c r="AM90" s="5122"/>
      <c r="AN90" s="2626"/>
    </row>
    <row r="91" spans="1:40" s="5127" customFormat="1">
      <c r="A91" s="620">
        <v>5</v>
      </c>
      <c r="B91" s="5119" t="s">
        <v>1789</v>
      </c>
      <c r="C91" s="5124">
        <f t="shared" si="40"/>
        <v>0</v>
      </c>
      <c r="D91" s="5125"/>
      <c r="E91" s="5125"/>
      <c r="F91" s="5125"/>
      <c r="G91" s="5125"/>
      <c r="H91" s="5125"/>
      <c r="I91" s="5125"/>
      <c r="J91" s="5125"/>
      <c r="K91" s="5125"/>
      <c r="L91" s="5125"/>
      <c r="M91" s="5125"/>
      <c r="N91" s="5125"/>
      <c r="O91" s="5125"/>
      <c r="P91" s="5121">
        <f t="shared" si="36"/>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7"/>
        <v>0</v>
      </c>
      <c r="D92" s="5122"/>
      <c r="E92" s="5122"/>
      <c r="F92" s="5122"/>
      <c r="G92" s="5122"/>
      <c r="H92" s="5122"/>
      <c r="I92" s="5122"/>
      <c r="J92" s="5122"/>
      <c r="K92" s="5122"/>
      <c r="L92" s="5122"/>
      <c r="M92" s="5122"/>
      <c r="N92" s="5122"/>
      <c r="O92" s="5122"/>
      <c r="P92" s="5123">
        <f t="shared" si="36"/>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40"/>
        <v>0</v>
      </c>
      <c r="D93" s="329"/>
      <c r="E93" s="329"/>
      <c r="F93" s="329"/>
      <c r="G93" s="5125"/>
      <c r="H93" s="329"/>
      <c r="I93" s="5125"/>
      <c r="J93" s="329"/>
      <c r="K93" s="329"/>
      <c r="L93" s="329"/>
      <c r="M93" s="329"/>
      <c r="N93" s="329"/>
      <c r="O93" s="329"/>
      <c r="P93" s="5123">
        <f t="shared" si="36"/>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7"/>
        <v>0</v>
      </c>
      <c r="D94" s="5122"/>
      <c r="E94" s="5122"/>
      <c r="F94" s="5122"/>
      <c r="G94" s="5122"/>
      <c r="H94" s="5122"/>
      <c r="I94" s="5122"/>
      <c r="J94" s="5122"/>
      <c r="K94" s="5122"/>
      <c r="L94" s="5122"/>
      <c r="M94" s="5122"/>
      <c r="N94" s="5122"/>
      <c r="O94" s="5122"/>
      <c r="P94" s="5123">
        <f t="shared" si="36"/>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40"/>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7"/>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40"/>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7"/>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5"/>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7"/>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7"/>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4">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7"/>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4"/>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7"/>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4"/>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9"/>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7"/>
        <v>80946.835146215482</v>
      </c>
      <c r="D105" s="5122"/>
      <c r="E105" s="5122"/>
      <c r="F105" s="5122"/>
      <c r="G105" s="5122"/>
      <c r="H105" s="5122"/>
      <c r="I105" s="5122"/>
      <c r="J105" s="5122"/>
      <c r="K105" s="5122"/>
      <c r="L105" s="5122"/>
      <c r="M105" s="5122"/>
      <c r="N105" s="5122"/>
      <c r="O105" s="5122"/>
      <c r="P105" s="5123">
        <f t="shared" si="44"/>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40"/>
        <v>13652.513398000039</v>
      </c>
      <c r="D106" s="5125">
        <f t="shared" si="25"/>
        <v>0</v>
      </c>
      <c r="E106" s="5125"/>
      <c r="F106" s="5125"/>
      <c r="G106" s="5125"/>
      <c r="H106" s="5125"/>
      <c r="I106" s="5125"/>
      <c r="J106" s="5125"/>
      <c r="K106" s="5125"/>
      <c r="L106" s="5125"/>
      <c r="M106" s="5125"/>
      <c r="N106" s="5125"/>
      <c r="O106" s="5125"/>
      <c r="P106" s="5121">
        <f t="shared" ref="P106:P112" si="45">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9"/>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7"/>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5"/>
        <v>0.10000000000582077</v>
      </c>
      <c r="Q108" s="5121"/>
      <c r="R108" s="5125"/>
      <c r="S108" s="5125"/>
      <c r="T108" s="5125"/>
      <c r="U108" s="5125"/>
      <c r="V108" s="5121"/>
      <c r="W108" s="5125"/>
      <c r="X108" s="5125"/>
      <c r="Y108" s="5125"/>
      <c r="Z108" s="5125"/>
      <c r="AA108" s="5121"/>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7"/>
        <v>12060</v>
      </c>
      <c r="D109" s="5122"/>
      <c r="E109" s="5122"/>
      <c r="F109" s="5122"/>
      <c r="G109" s="5122"/>
      <c r="H109" s="5122"/>
      <c r="I109" s="5122"/>
      <c r="J109" s="5122"/>
      <c r="K109" s="5122"/>
      <c r="L109" s="5122"/>
      <c r="M109" s="5122"/>
      <c r="N109" s="5122"/>
      <c r="O109" s="5122"/>
      <c r="P109" s="5962">
        <f t="shared" si="45"/>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9"/>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7"/>
        <v>0.10000000000582077</v>
      </c>
      <c r="D110" s="329">
        <f t="shared" si="25"/>
        <v>0</v>
      </c>
      <c r="E110" s="329"/>
      <c r="F110" s="329"/>
      <c r="G110" s="5125"/>
      <c r="H110" s="329"/>
      <c r="I110" s="5125"/>
      <c r="J110" s="329"/>
      <c r="K110" s="329"/>
      <c r="L110" s="329"/>
      <c r="M110" s="329"/>
      <c r="N110" s="329"/>
      <c r="O110" s="329"/>
      <c r="P110" s="5962">
        <f t="shared" si="45"/>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28">
        <f>+C112</f>
        <v>13427.738688122938</v>
      </c>
      <c r="D111" s="329">
        <f t="shared" si="25"/>
        <v>0</v>
      </c>
      <c r="E111" s="329"/>
      <c r="F111" s="329"/>
      <c r="G111" s="5125"/>
      <c r="H111" s="329"/>
      <c r="I111" s="5125"/>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7"/>
        <v>13427.738688122938</v>
      </c>
      <c r="D112" s="328">
        <f t="shared" si="25"/>
        <v>0</v>
      </c>
      <c r="E112" s="328"/>
      <c r="F112" s="328"/>
      <c r="G112" s="5122"/>
      <c r="H112" s="328"/>
      <c r="I112" s="5122"/>
      <c r="J112" s="328"/>
      <c r="K112" s="328"/>
      <c r="L112" s="328"/>
      <c r="M112" s="328"/>
      <c r="N112" s="328"/>
      <c r="O112" s="328"/>
      <c r="P112" s="5962">
        <f t="shared" si="45"/>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9"/>
        <v>0</v>
      </c>
      <c r="AI112" s="328"/>
      <c r="AJ112" s="328"/>
      <c r="AK112" s="328"/>
      <c r="AL112" s="328"/>
      <c r="AM112" s="328"/>
      <c r="AN112" s="1656"/>
    </row>
    <row r="113" spans="1:41" s="380" customFormat="1" ht="34.799999999999997">
      <c r="A113" s="611">
        <v>13</v>
      </c>
      <c r="B113" s="630" t="s">
        <v>722</v>
      </c>
      <c r="C113" s="5128">
        <f t="shared" si="40"/>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40"/>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28">
        <f t="shared" si="40"/>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28">
        <f t="shared" si="40"/>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40"/>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28">
        <f t="shared" si="40"/>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28">
        <f t="shared" si="40"/>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28">
        <f t="shared" si="40"/>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40"/>
        <v>163959.4</v>
      </c>
      <c r="D121" s="1658">
        <f t="shared" ref="D121" si="48">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28">
        <f t="shared" si="40"/>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40"/>
        <v>2530494</v>
      </c>
      <c r="D123" s="1658">
        <f t="shared" ref="D123:D127" si="49">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9"/>
        <v>2530494</v>
      </c>
      <c r="AI123" s="1658">
        <f>+'Phụ lục số 5'!AI123</f>
        <v>2530494</v>
      </c>
      <c r="AJ123" s="329"/>
      <c r="AK123" s="329"/>
      <c r="AL123" s="329"/>
      <c r="AM123" s="329"/>
      <c r="AN123" s="1657"/>
    </row>
    <row r="124" spans="1:41" s="380" customFormat="1" ht="34.799999999999997">
      <c r="A124" s="611" t="s">
        <v>731</v>
      </c>
      <c r="B124" s="612" t="s">
        <v>765</v>
      </c>
      <c r="C124" s="5128">
        <f t="shared" si="40"/>
        <v>0</v>
      </c>
      <c r="D124" s="1658">
        <f t="shared" si="49"/>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9"/>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11" t="str">
        <f>+'Phụ lục số 6'!A1:E1</f>
        <v>DỰ TOÁN CHI NGÂN SÁCH CHO MỘT SỐ CHƯƠNG TRÌNH, DỰ ÁN, NHIỆM VỤ KHÁC QUAN TRỌNG NĂM 2025</v>
      </c>
      <c r="B1" s="6499"/>
      <c r="C1" s="6499"/>
      <c r="D1" s="6499"/>
      <c r="E1" s="6499"/>
    </row>
    <row r="2" spans="1:5">
      <c r="A2" s="6514" t="str">
        <f>+'Phụ lục 5-HĐND'!A2:AM2</f>
        <v>(Kèm theo Nghị quyết số         /NQ-HĐND ngày     /12/2024 của Hội đồng nhân dân Tỉnh)</v>
      </c>
      <c r="B2" s="6500"/>
      <c r="C2" s="6500"/>
      <c r="D2" s="6500"/>
      <c r="E2" s="6500"/>
    </row>
    <row r="3" spans="1:5">
      <c r="A3" s="431"/>
      <c r="B3" s="2635"/>
      <c r="C3" s="2635"/>
      <c r="D3" s="2635"/>
      <c r="E3" s="2635"/>
    </row>
    <row r="4" spans="1:5" ht="18.600000000000001" thickBot="1">
      <c r="B4" s="6577" t="s">
        <v>638</v>
      </c>
      <c r="C4" s="6577"/>
      <c r="D4" s="6577"/>
      <c r="E4" s="6577"/>
    </row>
    <row r="5" spans="1:5" s="431" customFormat="1" thickTop="1">
      <c r="A5" s="6563" t="s">
        <v>247</v>
      </c>
      <c r="B5" s="6521" t="s">
        <v>1123</v>
      </c>
      <c r="C5" s="6521" t="s">
        <v>1455</v>
      </c>
      <c r="D5" s="6521" t="s">
        <v>998</v>
      </c>
      <c r="E5" s="6578"/>
    </row>
    <row r="6" spans="1:5" s="431" customFormat="1" ht="34.799999999999997">
      <c r="A6" s="6564"/>
      <c r="B6" s="6046"/>
      <c r="C6" s="6046"/>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736" t="s">
        <v>1845</v>
      </c>
      <c r="D1" s="6736"/>
      <c r="E1" s="6736"/>
      <c r="F1" s="6736"/>
      <c r="G1" s="6736"/>
      <c r="H1" s="6736"/>
      <c r="I1" s="6736"/>
      <c r="J1" s="6736"/>
      <c r="K1" s="6736"/>
      <c r="L1" s="6736"/>
      <c r="M1" s="6736"/>
      <c r="N1" s="6736"/>
      <c r="O1" s="6736"/>
      <c r="P1" s="6736"/>
      <c r="Q1" s="6736"/>
      <c r="R1" s="6736"/>
      <c r="S1" s="6736"/>
      <c r="T1" s="6736"/>
      <c r="U1" s="6736"/>
      <c r="V1" s="6736"/>
      <c r="W1" s="6736"/>
      <c r="X1" s="6736" t="str">
        <f>C1</f>
        <v>DỰ TOÁN THU NSNN NĂM 2025 TRÊN ĐỊA BÀN HUYỆN, THÀNH PHỐ</v>
      </c>
      <c r="Y1" s="6736"/>
      <c r="Z1" s="6736"/>
      <c r="AA1" s="6736"/>
      <c r="AB1" s="6736"/>
      <c r="AC1" s="6736"/>
      <c r="AD1" s="6736"/>
      <c r="AE1" s="6736"/>
      <c r="AF1" s="6736"/>
      <c r="AG1" s="6736"/>
      <c r="AH1" s="6736"/>
      <c r="AI1" s="6736"/>
      <c r="AJ1" s="6736"/>
      <c r="AK1" s="6736"/>
      <c r="AL1" s="6736"/>
      <c r="AM1" s="6736"/>
      <c r="AN1" s="6736"/>
      <c r="AO1" s="6736"/>
      <c r="AP1" s="2733"/>
      <c r="AQ1" s="2733"/>
      <c r="AR1" s="2733"/>
    </row>
    <row r="2" spans="1:44">
      <c r="A2" s="2734"/>
      <c r="B2" s="2734"/>
      <c r="C2" s="6737" t="s">
        <v>1726</v>
      </c>
      <c r="D2" s="6738"/>
      <c r="E2" s="6738"/>
      <c r="F2" s="6738"/>
      <c r="G2" s="6738"/>
      <c r="H2" s="6738"/>
      <c r="I2" s="6738"/>
      <c r="J2" s="6738"/>
      <c r="K2" s="6738"/>
      <c r="L2" s="6738"/>
      <c r="M2" s="6738"/>
      <c r="N2" s="6738"/>
      <c r="O2" s="6738"/>
      <c r="P2" s="6738"/>
      <c r="Q2" s="6738"/>
      <c r="R2" s="6738"/>
      <c r="S2" s="6738"/>
      <c r="T2" s="6738"/>
      <c r="U2" s="6738"/>
      <c r="V2" s="6738"/>
      <c r="W2" s="6738"/>
      <c r="X2" s="6316" t="str">
        <f>C2</f>
        <v>(Kèm theo Nghị quyết số          /NQ-HĐND ngày      /12/2024 của Hội đồng nhân dân Tỉnh)</v>
      </c>
      <c r="Y2" s="6316"/>
      <c r="Z2" s="6316"/>
      <c r="AA2" s="6316"/>
      <c r="AB2" s="6316"/>
      <c r="AC2" s="6316"/>
      <c r="AD2" s="6316"/>
      <c r="AE2" s="6316"/>
      <c r="AF2" s="6316"/>
      <c r="AG2" s="6316"/>
      <c r="AH2" s="6316"/>
      <c r="AI2" s="6316"/>
      <c r="AJ2" s="6316"/>
      <c r="AK2" s="6316"/>
      <c r="AL2" s="6316"/>
      <c r="AM2" s="6316"/>
      <c r="AN2" s="6316"/>
      <c r="AO2" s="6316"/>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31"/>
      <c r="T4" s="6739" t="s">
        <v>638</v>
      </c>
      <c r="U4" s="6739"/>
      <c r="V4" s="6739"/>
      <c r="W4" s="6739"/>
      <c r="X4" s="320"/>
      <c r="AD4" s="6739"/>
      <c r="AE4" s="6739"/>
      <c r="AF4" s="6739"/>
      <c r="AL4" s="6739" t="str">
        <f>T4</f>
        <v>Đơn vị tính: Triệu đồng</v>
      </c>
      <c r="AM4" s="6739"/>
      <c r="AN4" s="6739"/>
      <c r="AO4" s="6739"/>
    </row>
    <row r="5" spans="1:44" ht="18.600000000000001" thickTop="1">
      <c r="A5" s="6732" t="s">
        <v>247</v>
      </c>
      <c r="B5" s="6734" t="s">
        <v>767</v>
      </c>
      <c r="C5" s="6731" t="s">
        <v>651</v>
      </c>
      <c r="D5" s="6731"/>
      <c r="E5" s="6731"/>
      <c r="F5" s="6731" t="s">
        <v>768</v>
      </c>
      <c r="G5" s="6731"/>
      <c r="H5" s="6731"/>
      <c r="I5" s="6731" t="s">
        <v>769</v>
      </c>
      <c r="J5" s="6731"/>
      <c r="K5" s="6731"/>
      <c r="L5" s="6731" t="s">
        <v>770</v>
      </c>
      <c r="M5" s="6731"/>
      <c r="N5" s="6731"/>
      <c r="O5" s="6731" t="s">
        <v>771</v>
      </c>
      <c r="P5" s="6731"/>
      <c r="Q5" s="6731"/>
      <c r="R5" s="6731" t="s">
        <v>772</v>
      </c>
      <c r="S5" s="6731"/>
      <c r="T5" s="6731"/>
      <c r="U5" s="6731" t="s">
        <v>773</v>
      </c>
      <c r="V5" s="6731"/>
      <c r="W5" s="6741"/>
      <c r="X5" s="6742" t="s">
        <v>774</v>
      </c>
      <c r="Y5" s="6731"/>
      <c r="Z5" s="6731"/>
      <c r="AA5" s="6731" t="s">
        <v>775</v>
      </c>
      <c r="AB5" s="6731"/>
      <c r="AC5" s="6731"/>
      <c r="AD5" s="6731" t="s">
        <v>776</v>
      </c>
      <c r="AE5" s="6731"/>
      <c r="AF5" s="6731"/>
      <c r="AG5" s="6731" t="s">
        <v>777</v>
      </c>
      <c r="AH5" s="6731"/>
      <c r="AI5" s="6731"/>
      <c r="AJ5" s="6731" t="s">
        <v>778</v>
      </c>
      <c r="AK5" s="6731"/>
      <c r="AL5" s="6731"/>
      <c r="AM5" s="6731" t="s">
        <v>779</v>
      </c>
      <c r="AN5" s="6731"/>
      <c r="AO5" s="6740"/>
    </row>
    <row r="6" spans="1:44" s="314" customFormat="1" ht="27.75" customHeight="1">
      <c r="A6" s="6733"/>
      <c r="B6" s="6735"/>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32" t="s">
        <v>782</v>
      </c>
      <c r="X6" s="5333"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70" customFormat="1">
      <c r="A7" s="5334" t="s">
        <v>3</v>
      </c>
      <c r="B7" s="5335" t="s">
        <v>783</v>
      </c>
      <c r="C7" s="5336">
        <f>SUM(C9,C15,C18,C19,C20,C21,C25,C28,C31,C35)</f>
        <v>4493400</v>
      </c>
      <c r="D7" s="5336"/>
      <c r="E7" s="5336">
        <f>SUM(E9,E15,E18,E19,E20,E21,E25,E28,E31,E35)</f>
        <v>3732300</v>
      </c>
      <c r="F7" s="5336">
        <f>SUM(F9,F15,F18,F19,F20,F21,F25,F28,F31,F35)</f>
        <v>156150</v>
      </c>
      <c r="G7" s="5336"/>
      <c r="H7" s="5336">
        <f>SUM(H9,H15,H18,H19,H20,H21,H25,H28,H31,H35)</f>
        <v>134750</v>
      </c>
      <c r="I7" s="5336">
        <f>SUM(I9,I15,I18,I19,I20,I21,I25,I28,I31,I35)</f>
        <v>392350</v>
      </c>
      <c r="J7" s="5336"/>
      <c r="K7" s="5336">
        <f>SUM(K9,K15,K18,K19,K20,K21,K25,K28,K31,K35)</f>
        <v>353410</v>
      </c>
      <c r="L7" s="5336">
        <f>SUM(L9,L15,L18,L19,L20,L21,L25,L28,L31,L35)</f>
        <v>104800</v>
      </c>
      <c r="M7" s="5336"/>
      <c r="N7" s="5336">
        <f>SUM(N9,N15,N18,N19,N20,N21,N25,N28,N31,N35)</f>
        <v>98950</v>
      </c>
      <c r="O7" s="5336">
        <f>SUM(O9,O15,O18,O19,O20,O21,O25,O28,O31,O35)</f>
        <v>155200</v>
      </c>
      <c r="P7" s="5336"/>
      <c r="Q7" s="5336">
        <f>SUM(Q9,Q15,Q18,Q19,Q20,Q21,Q25,Q28,Q31,Q35)</f>
        <v>137300</v>
      </c>
      <c r="R7" s="5336">
        <f>SUM(R9,R15,R18,R19,R20,R21,R25,R28,R31,R35)</f>
        <v>196200</v>
      </c>
      <c r="S7" s="5336"/>
      <c r="T7" s="5336">
        <f>SUM(T9,T15,T18,T19,T20,T21,T25,T28,T31,T35)</f>
        <v>180900</v>
      </c>
      <c r="U7" s="5336">
        <f>SUM(U9,U15,U18,U19,U20,U21,U25,U28,U31,U35)</f>
        <v>1501500</v>
      </c>
      <c r="V7" s="5336"/>
      <c r="W7" s="5337">
        <f>SUM(W9,W15,W18,W19,W20,W21,W25,W28,W31,W35)</f>
        <v>1200500</v>
      </c>
      <c r="X7" s="5338">
        <f>SUM(X9,X15,X18,X19,X20,X21,X25,X28,X31,X35)</f>
        <v>266950</v>
      </c>
      <c r="Y7" s="5336"/>
      <c r="Z7" s="5336">
        <f>SUM(Z9,Z15,Z18,Z19,Z20,Z21,Z25,Z28,Z31,Z35)</f>
        <v>243800</v>
      </c>
      <c r="AA7" s="5336">
        <f>SUM(AA9,AA15,AA18,AA19,AA20,AA21,AA25,AA28,AA31,AA35)</f>
        <v>278300</v>
      </c>
      <c r="AB7" s="5336"/>
      <c r="AC7" s="5336">
        <f>SUM(AC9,AC15,AC18,AC19,AC20,AC21,AC25,AC28,AC31,AC35)</f>
        <v>258700</v>
      </c>
      <c r="AD7" s="5336">
        <f>SUM(AD9,AD15,AD18,AD19,AD20,AD21,AD25,AD28,AD31,AD35)</f>
        <v>276200</v>
      </c>
      <c r="AE7" s="5336"/>
      <c r="AF7" s="5336">
        <f>SUM(AF9,AF15,AF18,AF19,AF20,AF21,AF25,AF28,AF31,AF35)</f>
        <v>256900</v>
      </c>
      <c r="AG7" s="5336">
        <f>SUM(AG9,AG15,AG18,AG19,AG20,AG21,AG25,AG28,AG31,AG35)</f>
        <v>221700</v>
      </c>
      <c r="AH7" s="5336"/>
      <c r="AI7" s="5336">
        <f>SUM(AI9,AI15,AI18,AI19,AI20,AI21,AI25,AI28,AI31,AI35)</f>
        <v>207080</v>
      </c>
      <c r="AJ7" s="5336">
        <f>SUM(AJ9,AJ15,AJ18,AJ19,AJ20,AJ21,AJ25,AJ28,AJ31,AJ35)</f>
        <v>707000</v>
      </c>
      <c r="AK7" s="5336"/>
      <c r="AL7" s="5336">
        <f>SUM(AL9,AL15,AL18,AL19,AL20,AL21,AL25,AL28,AL31,AL35)</f>
        <v>439400</v>
      </c>
      <c r="AM7" s="2697">
        <f>SUM(AM9,AM15,AM18,AM19,AM20,AM21,AM25,AM28,AM31,AM35)</f>
        <v>237050</v>
      </c>
      <c r="AN7" s="2697"/>
      <c r="AO7" s="2698">
        <f>SUM(AO9,AO15,AO18,AO19,AO20,AO21,AO25,AO28,AO31,AO35)</f>
        <v>220610</v>
      </c>
    </row>
    <row r="8" spans="1:44" s="4969" customFormat="1" ht="36">
      <c r="A8" s="5339"/>
      <c r="B8" s="5340" t="s">
        <v>784</v>
      </c>
      <c r="C8" s="5341">
        <f>C7-C28</f>
        <v>2893400</v>
      </c>
      <c r="D8" s="5341"/>
      <c r="E8" s="5341">
        <f t="shared" ref="E8:AO8" si="0">E7-E28</f>
        <v>2638800</v>
      </c>
      <c r="F8" s="5341">
        <f t="shared" si="0"/>
        <v>96150</v>
      </c>
      <c r="G8" s="5341"/>
      <c r="H8" s="5341">
        <f t="shared" si="0"/>
        <v>80750</v>
      </c>
      <c r="I8" s="5341">
        <f t="shared" si="0"/>
        <v>102350</v>
      </c>
      <c r="J8" s="5341"/>
      <c r="K8" s="5341">
        <f t="shared" si="0"/>
        <v>92410</v>
      </c>
      <c r="L8" s="5341">
        <f t="shared" si="0"/>
        <v>74800</v>
      </c>
      <c r="M8" s="5341"/>
      <c r="N8" s="5341">
        <f t="shared" si="0"/>
        <v>71950</v>
      </c>
      <c r="O8" s="5341">
        <f t="shared" si="0"/>
        <v>95200</v>
      </c>
      <c r="P8" s="5341"/>
      <c r="Q8" s="5341">
        <f t="shared" si="0"/>
        <v>83300</v>
      </c>
      <c r="R8" s="5341">
        <f t="shared" si="0"/>
        <v>146200</v>
      </c>
      <c r="S8" s="5341"/>
      <c r="T8" s="5341">
        <f t="shared" si="0"/>
        <v>135900</v>
      </c>
      <c r="U8" s="5341">
        <f t="shared" si="0"/>
        <v>1191500</v>
      </c>
      <c r="V8" s="5341"/>
      <c r="W8" s="5342">
        <f t="shared" si="0"/>
        <v>1056500</v>
      </c>
      <c r="X8" s="5343">
        <f t="shared" si="0"/>
        <v>191950</v>
      </c>
      <c r="Y8" s="5341"/>
      <c r="Z8" s="5341">
        <f t="shared" si="0"/>
        <v>176300</v>
      </c>
      <c r="AA8" s="5341">
        <f t="shared" si="0"/>
        <v>178300</v>
      </c>
      <c r="AB8" s="5341"/>
      <c r="AC8" s="5341">
        <f t="shared" si="0"/>
        <v>168700</v>
      </c>
      <c r="AD8" s="5341">
        <f t="shared" si="0"/>
        <v>216200</v>
      </c>
      <c r="AE8" s="5341"/>
      <c r="AF8" s="5341">
        <f t="shared" si="0"/>
        <v>202900</v>
      </c>
      <c r="AG8" s="5341">
        <f t="shared" si="0"/>
        <v>151700</v>
      </c>
      <c r="AH8" s="5341"/>
      <c r="AI8" s="5341">
        <f t="shared" si="0"/>
        <v>144080</v>
      </c>
      <c r="AJ8" s="5341">
        <f t="shared" si="0"/>
        <v>312000</v>
      </c>
      <c r="AK8" s="5341"/>
      <c r="AL8" s="5341">
        <f t="shared" si="0"/>
        <v>295400</v>
      </c>
      <c r="AM8" s="5344">
        <f t="shared" si="0"/>
        <v>137050</v>
      </c>
      <c r="AN8" s="5344"/>
      <c r="AO8" s="5345">
        <f t="shared" si="0"/>
        <v>130610</v>
      </c>
    </row>
    <row r="9" spans="1:44" s="4970" customFormat="1">
      <c r="A9" s="4971">
        <v>1</v>
      </c>
      <c r="B9" s="4972" t="s">
        <v>785</v>
      </c>
      <c r="C9" s="5346">
        <f>SUM(F9,L9,O9,R9,U9,X9,AA9,AD9,AG9,AJ9,AM9,I9)</f>
        <v>1550000</v>
      </c>
      <c r="D9" s="5346"/>
      <c r="E9" s="5346">
        <f>SUM(H9,N9,Q9,T9,W9,Z9,AC9,AF9,AI9,AL9,AO9,K9)</f>
        <v>1477000</v>
      </c>
      <c r="F9" s="5346">
        <f>SUM(F10:F14)</f>
        <v>31500</v>
      </c>
      <c r="G9" s="5346"/>
      <c r="H9" s="5346">
        <f>SUM(H10:H14)</f>
        <v>21600</v>
      </c>
      <c r="I9" s="5346">
        <f>SUM(I10:I14)</f>
        <v>35000</v>
      </c>
      <c r="J9" s="5346"/>
      <c r="K9" s="5346">
        <f>SUM(K10:K14)</f>
        <v>34660</v>
      </c>
      <c r="L9" s="5346">
        <f>SUM(L10:L14)</f>
        <v>32000</v>
      </c>
      <c r="M9" s="5346"/>
      <c r="N9" s="5346">
        <f>SUM(N10:N14)</f>
        <v>31900</v>
      </c>
      <c r="O9" s="5346">
        <f>SUM(O10:O14)</f>
        <v>30500</v>
      </c>
      <c r="P9" s="5346"/>
      <c r="Q9" s="5346">
        <f>SUM(Q10:Q14)</f>
        <v>29800</v>
      </c>
      <c r="R9" s="5346">
        <f>SUM(R10:R14)</f>
        <v>67000</v>
      </c>
      <c r="S9" s="5346"/>
      <c r="T9" s="5346">
        <f>SUM(T10:T14)</f>
        <v>66600</v>
      </c>
      <c r="U9" s="5346">
        <f>SUM(U10:U14)</f>
        <v>780000</v>
      </c>
      <c r="V9" s="5346"/>
      <c r="W9" s="5347">
        <f>SUM(W10:W14)</f>
        <v>728200</v>
      </c>
      <c r="X9" s="5348">
        <f>SUM(X10:X14)</f>
        <v>80000</v>
      </c>
      <c r="Y9" s="5346"/>
      <c r="Z9" s="5346">
        <f>SUM(Z10:Z14)</f>
        <v>77200</v>
      </c>
      <c r="AA9" s="5346">
        <f>SUM(AA10:AA14)</f>
        <v>83000</v>
      </c>
      <c r="AB9" s="5346"/>
      <c r="AC9" s="5346">
        <f>SUM(AC10:AC14)</f>
        <v>82150</v>
      </c>
      <c r="AD9" s="5346">
        <f>SUM(AD10:AD14)</f>
        <v>117000</v>
      </c>
      <c r="AE9" s="5346"/>
      <c r="AF9" s="5346">
        <f>SUM(AF10:AF14)</f>
        <v>113700</v>
      </c>
      <c r="AG9" s="5346">
        <f>SUM(AG10:AG14)</f>
        <v>65000</v>
      </c>
      <c r="AH9" s="5346"/>
      <c r="AI9" s="5346">
        <f>SUM(AI10:AI14)</f>
        <v>63380</v>
      </c>
      <c r="AJ9" s="5346">
        <f>SUM(AJ10:AJ14)</f>
        <v>163000</v>
      </c>
      <c r="AK9" s="5346"/>
      <c r="AL9" s="5346">
        <f>SUM(AL10:AL14)</f>
        <v>162100</v>
      </c>
      <c r="AM9" s="2699">
        <f>SUM(AM10:AM14)</f>
        <v>66000</v>
      </c>
      <c r="AN9" s="2699"/>
      <c r="AO9" s="2700">
        <f>SUM(AO10:AO14)</f>
        <v>65710</v>
      </c>
    </row>
    <row r="10" spans="1:44" s="2750" customFormat="1">
      <c r="A10" s="1926" t="s">
        <v>29</v>
      </c>
      <c r="B10" s="4968"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49">
        <f t="shared" ref="W10:W20" si="5">U10*V10/100</f>
        <v>306200</v>
      </c>
      <c r="X10" s="5350">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68"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49">
        <f t="shared" si="5"/>
        <v>422000</v>
      </c>
      <c r="X11" s="5350">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68"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49">
        <f t="shared" si="5"/>
        <v>0</v>
      </c>
      <c r="X12" s="5350">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68"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49">
        <f t="shared" si="5"/>
        <v>0</v>
      </c>
      <c r="X13" s="5350">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68"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49">
        <f t="shared" si="5"/>
        <v>0</v>
      </c>
      <c r="X14" s="5350">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71">
        <v>2</v>
      </c>
      <c r="B15" s="4972" t="s">
        <v>20</v>
      </c>
      <c r="C15" s="5346">
        <f>SUM(C16:C17)</f>
        <v>353000</v>
      </c>
      <c r="D15" s="5346">
        <f t="shared" si="13"/>
        <v>100</v>
      </c>
      <c r="E15" s="5346">
        <f>SUM(E16:E17)</f>
        <v>353000</v>
      </c>
      <c r="F15" s="5346">
        <f>SUM(F16:F17)</f>
        <v>11000</v>
      </c>
      <c r="G15" s="5346">
        <v>100</v>
      </c>
      <c r="H15" s="5346">
        <f>SUM(H16:H17)</f>
        <v>11000</v>
      </c>
      <c r="I15" s="5346">
        <f>SUM(I16:I17)</f>
        <v>21000</v>
      </c>
      <c r="J15" s="5346">
        <v>100</v>
      </c>
      <c r="K15" s="5346">
        <f>SUM(K16:K17)</f>
        <v>21000</v>
      </c>
      <c r="L15" s="5346">
        <f>SUM(L16:L17)</f>
        <v>15000</v>
      </c>
      <c r="M15" s="5346">
        <v>100</v>
      </c>
      <c r="N15" s="5346">
        <f>SUM(N16:N17)</f>
        <v>15000</v>
      </c>
      <c r="O15" s="5346">
        <f>SUM(O16:O17)</f>
        <v>18000</v>
      </c>
      <c r="P15" s="5346">
        <v>100</v>
      </c>
      <c r="Q15" s="5346">
        <f>SUM(Q16:Q17)</f>
        <v>18000</v>
      </c>
      <c r="R15" s="5346">
        <f>SUM(R16:R17)</f>
        <v>17000</v>
      </c>
      <c r="S15" s="5346">
        <v>100</v>
      </c>
      <c r="T15" s="5346">
        <f>SUM(T16:T17)</f>
        <v>17000</v>
      </c>
      <c r="U15" s="5346">
        <f>SUM(U16:U17)</f>
        <v>80000</v>
      </c>
      <c r="V15" s="5346">
        <v>100</v>
      </c>
      <c r="W15" s="5347">
        <f>SUM(W16:W17)</f>
        <v>80000</v>
      </c>
      <c r="X15" s="5348">
        <f>SUM(X16:X17)</f>
        <v>32000</v>
      </c>
      <c r="Y15" s="5346">
        <v>100</v>
      </c>
      <c r="Z15" s="5346">
        <f>SUM(Z16:Z17)</f>
        <v>32000</v>
      </c>
      <c r="AA15" s="5346">
        <f>SUM(AA16:AA17)</f>
        <v>32000</v>
      </c>
      <c r="AB15" s="5346">
        <v>100</v>
      </c>
      <c r="AC15" s="5346">
        <f>SUM(AC16:AC17)</f>
        <v>32000</v>
      </c>
      <c r="AD15" s="5346">
        <f>SUM(AD16:AD17)</f>
        <v>27000</v>
      </c>
      <c r="AE15" s="5346">
        <v>100</v>
      </c>
      <c r="AF15" s="5346">
        <f>SUM(AF16:AF17)</f>
        <v>27000</v>
      </c>
      <c r="AG15" s="5346">
        <f>SUM(AG16:AG17)</f>
        <v>28000</v>
      </c>
      <c r="AH15" s="5346">
        <v>100</v>
      </c>
      <c r="AI15" s="5346">
        <f>SUM(AI16:AI17)</f>
        <v>28000</v>
      </c>
      <c r="AJ15" s="5346">
        <f>SUM(AJ16:AJ17)</f>
        <v>50000</v>
      </c>
      <c r="AK15" s="5346">
        <v>100</v>
      </c>
      <c r="AL15" s="5346">
        <f>SUM(AL16:AL17)</f>
        <v>50000</v>
      </c>
      <c r="AM15" s="5346">
        <f>SUM(AM16:AM17)</f>
        <v>22000</v>
      </c>
      <c r="AN15" s="5346">
        <v>100</v>
      </c>
      <c r="AO15" s="4277">
        <f>SUM(AO16:AO17)</f>
        <v>22000</v>
      </c>
    </row>
    <row r="16" spans="1:44" s="2755" customFormat="1" ht="36" hidden="1">
      <c r="A16" s="4480" t="s">
        <v>29</v>
      </c>
      <c r="B16" s="2882" t="s">
        <v>790</v>
      </c>
      <c r="C16" s="2748">
        <f>SUM(F16,L16,O16,R16,U16,X16,AA16,AD16,AG16,AJ16,AM16,I16)</f>
        <v>0</v>
      </c>
      <c r="D16" s="2748" t="str">
        <f>IF(E16=0,"",E16/C16*100)</f>
        <v/>
      </c>
      <c r="E16" s="2748">
        <f t="shared" si="1"/>
        <v>0</v>
      </c>
      <c r="F16" s="2748">
        <f>+'Phụ lục số 7'!F16</f>
        <v>0</v>
      </c>
      <c r="G16" s="5346"/>
      <c r="H16" s="5346"/>
      <c r="I16" s="2748">
        <f>+'Phụ lục số 7'!I16</f>
        <v>0</v>
      </c>
      <c r="J16" s="5346"/>
      <c r="K16" s="5346"/>
      <c r="L16" s="2748">
        <f>+'Phụ lục số 7'!L16</f>
        <v>0</v>
      </c>
      <c r="M16" s="5346"/>
      <c r="N16" s="5346"/>
      <c r="O16" s="2748">
        <f>+'Phụ lục số 7'!O16</f>
        <v>0</v>
      </c>
      <c r="P16" s="5346"/>
      <c r="Q16" s="5346"/>
      <c r="R16" s="2748">
        <f>+'Phụ lục số 7'!R16</f>
        <v>0</v>
      </c>
      <c r="S16" s="5346"/>
      <c r="T16" s="5346"/>
      <c r="U16" s="2748">
        <f>+'Phụ lục số 7'!U16</f>
        <v>0</v>
      </c>
      <c r="V16" s="5346"/>
      <c r="W16" s="5347"/>
      <c r="X16" s="5350">
        <f>+'Phụ lục số 7'!X16</f>
        <v>0</v>
      </c>
      <c r="Y16" s="5346"/>
      <c r="Z16" s="5346"/>
      <c r="AA16" s="2748">
        <f>+'Phụ lục số 7'!AA16</f>
        <v>0</v>
      </c>
      <c r="AB16" s="5346"/>
      <c r="AC16" s="5346"/>
      <c r="AD16" s="2748">
        <f>+'Phụ lục số 7'!AD16</f>
        <v>0</v>
      </c>
      <c r="AE16" s="5346"/>
      <c r="AF16" s="5346"/>
      <c r="AG16" s="2748">
        <f>+'Phụ lục số 7'!AG16</f>
        <v>0</v>
      </c>
      <c r="AH16" s="5346"/>
      <c r="AI16" s="5346"/>
      <c r="AJ16" s="2748">
        <f>+'Phụ lục số 7'!AJ16</f>
        <v>0</v>
      </c>
      <c r="AK16" s="5346"/>
      <c r="AL16" s="5346"/>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49">
        <f>U17/V17*100</f>
        <v>80000</v>
      </c>
      <c r="X17" s="5350">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70" customFormat="1">
      <c r="A18" s="4971">
        <v>3</v>
      </c>
      <c r="B18" s="4972" t="s">
        <v>17</v>
      </c>
      <c r="C18" s="5346">
        <f t="shared" si="12"/>
        <v>330000</v>
      </c>
      <c r="D18" s="5346">
        <f t="shared" si="13"/>
        <v>100</v>
      </c>
      <c r="E18" s="5346">
        <f t="shared" si="1"/>
        <v>330000</v>
      </c>
      <c r="F18" s="5346">
        <f>+'Phụ lục số 7'!F18</f>
        <v>15000</v>
      </c>
      <c r="G18" s="5346">
        <v>100</v>
      </c>
      <c r="H18" s="5346">
        <f t="shared" si="14"/>
        <v>15000</v>
      </c>
      <c r="I18" s="5346">
        <f>+'Phụ lục số 7'!I18</f>
        <v>20000</v>
      </c>
      <c r="J18" s="5346">
        <v>100</v>
      </c>
      <c r="K18" s="5346">
        <f t="shared" si="2"/>
        <v>20000</v>
      </c>
      <c r="L18" s="5346">
        <f>+'Phụ lục số 7'!L18</f>
        <v>13000</v>
      </c>
      <c r="M18" s="5346">
        <v>100</v>
      </c>
      <c r="N18" s="5346">
        <f t="shared" si="3"/>
        <v>13000</v>
      </c>
      <c r="O18" s="5346">
        <f>+'Phụ lục số 7'!O18</f>
        <v>18000</v>
      </c>
      <c r="P18" s="5346">
        <v>100</v>
      </c>
      <c r="Q18" s="5346">
        <f t="shared" si="15"/>
        <v>18000</v>
      </c>
      <c r="R18" s="5346">
        <f>+'Phụ lục số 7'!R18</f>
        <v>20000</v>
      </c>
      <c r="S18" s="5346">
        <v>100</v>
      </c>
      <c r="T18" s="5346">
        <f t="shared" si="4"/>
        <v>20000</v>
      </c>
      <c r="U18" s="5346">
        <f>+'Phụ lục số 7'!U18</f>
        <v>75000</v>
      </c>
      <c r="V18" s="5346">
        <v>100</v>
      </c>
      <c r="W18" s="5347">
        <f t="shared" si="5"/>
        <v>75000</v>
      </c>
      <c r="X18" s="5348">
        <f>+'Phụ lục số 7'!X18</f>
        <v>37000</v>
      </c>
      <c r="Y18" s="5346">
        <v>100</v>
      </c>
      <c r="Z18" s="5346">
        <f t="shared" si="6"/>
        <v>37000</v>
      </c>
      <c r="AA18" s="5346">
        <f>+'Phụ lục số 7'!AA18</f>
        <v>27500</v>
      </c>
      <c r="AB18" s="5346">
        <v>100</v>
      </c>
      <c r="AC18" s="5346">
        <f t="shared" si="7"/>
        <v>27500</v>
      </c>
      <c r="AD18" s="5346">
        <f>+'Phụ lục số 7'!AD18</f>
        <v>26000</v>
      </c>
      <c r="AE18" s="5346">
        <v>100</v>
      </c>
      <c r="AF18" s="5346">
        <f t="shared" si="8"/>
        <v>26000</v>
      </c>
      <c r="AG18" s="5346">
        <f>+'Phụ lục số 7'!AG18</f>
        <v>26500</v>
      </c>
      <c r="AH18" s="5346">
        <v>100</v>
      </c>
      <c r="AI18" s="5346">
        <f t="shared" si="9"/>
        <v>26500</v>
      </c>
      <c r="AJ18" s="5346">
        <f>+'Phụ lục số 7'!AJ18</f>
        <v>30000</v>
      </c>
      <c r="AK18" s="5346">
        <v>100</v>
      </c>
      <c r="AL18" s="5346">
        <f t="shared" si="10"/>
        <v>30000</v>
      </c>
      <c r="AM18" s="2699">
        <f>+'Phụ lục số 7'!AM18</f>
        <v>22000</v>
      </c>
      <c r="AN18" s="2699">
        <v>100</v>
      </c>
      <c r="AO18" s="2700">
        <f t="shared" si="11"/>
        <v>22000</v>
      </c>
    </row>
    <row r="19" spans="1:41" s="4970" customFormat="1">
      <c r="A19" s="4971">
        <v>4</v>
      </c>
      <c r="B19" s="4972" t="s">
        <v>3192</v>
      </c>
      <c r="C19" s="5346">
        <f t="shared" si="12"/>
        <v>0</v>
      </c>
      <c r="D19" s="5346">
        <f t="shared" si="13"/>
        <v>100</v>
      </c>
      <c r="E19" s="5346">
        <f t="shared" si="1"/>
        <v>0</v>
      </c>
      <c r="F19" s="5346">
        <f>+'Phụ lục số 7'!F19</f>
        <v>0</v>
      </c>
      <c r="G19" s="5346">
        <v>100</v>
      </c>
      <c r="H19" s="5346">
        <f t="shared" si="14"/>
        <v>0</v>
      </c>
      <c r="I19" s="5346">
        <f>+'Phụ lục số 7'!I19</f>
        <v>0</v>
      </c>
      <c r="J19" s="5346">
        <v>100</v>
      </c>
      <c r="K19" s="5346">
        <f t="shared" si="2"/>
        <v>0</v>
      </c>
      <c r="L19" s="5346">
        <f>+'Phụ lục số 7'!L19</f>
        <v>0</v>
      </c>
      <c r="M19" s="5346">
        <v>100</v>
      </c>
      <c r="N19" s="5346">
        <f t="shared" si="3"/>
        <v>0</v>
      </c>
      <c r="O19" s="5346">
        <f>+'Phụ lục số 7'!O19</f>
        <v>0</v>
      </c>
      <c r="P19" s="5346">
        <v>100</v>
      </c>
      <c r="Q19" s="5346">
        <f t="shared" si="15"/>
        <v>0</v>
      </c>
      <c r="R19" s="5346">
        <f>+'Phụ lục số 7'!R19</f>
        <v>0</v>
      </c>
      <c r="S19" s="5346">
        <v>100</v>
      </c>
      <c r="T19" s="5346">
        <f t="shared" si="4"/>
        <v>0</v>
      </c>
      <c r="U19" s="5346">
        <f>+'Phụ lục số 7'!U19</f>
        <v>0</v>
      </c>
      <c r="V19" s="5346">
        <v>100</v>
      </c>
      <c r="W19" s="5347">
        <f t="shared" si="5"/>
        <v>0</v>
      </c>
      <c r="X19" s="5348">
        <f>+'Phụ lục số 7'!X19</f>
        <v>0</v>
      </c>
      <c r="Y19" s="5346">
        <v>100</v>
      </c>
      <c r="Z19" s="5346">
        <f t="shared" si="6"/>
        <v>0</v>
      </c>
      <c r="AA19" s="5346">
        <f>+'Phụ lục số 7'!AA19</f>
        <v>0</v>
      </c>
      <c r="AB19" s="5346">
        <v>100</v>
      </c>
      <c r="AC19" s="5346">
        <f t="shared" si="7"/>
        <v>0</v>
      </c>
      <c r="AD19" s="5346">
        <f>+'Phụ lục số 7'!AD19</f>
        <v>0</v>
      </c>
      <c r="AE19" s="5346">
        <v>100</v>
      </c>
      <c r="AF19" s="5346">
        <f t="shared" si="8"/>
        <v>0</v>
      </c>
      <c r="AG19" s="5346">
        <f>+'Phụ lục số 7'!AG19</f>
        <v>0</v>
      </c>
      <c r="AH19" s="5346">
        <v>100</v>
      </c>
      <c r="AI19" s="5346">
        <f t="shared" si="9"/>
        <v>0</v>
      </c>
      <c r="AJ19" s="5346">
        <f>+'Phụ lục số 7'!AJ19</f>
        <v>0</v>
      </c>
      <c r="AK19" s="5346">
        <v>100</v>
      </c>
      <c r="AL19" s="5346">
        <f t="shared" si="10"/>
        <v>0</v>
      </c>
      <c r="AM19" s="2699">
        <f>+'Phụ lục số 7'!AM19</f>
        <v>0</v>
      </c>
      <c r="AN19" s="2699">
        <v>100</v>
      </c>
      <c r="AO19" s="2700">
        <f t="shared" si="11"/>
        <v>0</v>
      </c>
    </row>
    <row r="20" spans="1:41" s="4970" customFormat="1">
      <c r="A20" s="4971">
        <v>5</v>
      </c>
      <c r="B20" s="4972" t="s">
        <v>97</v>
      </c>
      <c r="C20" s="5346">
        <f t="shared" si="12"/>
        <v>17000</v>
      </c>
      <c r="D20" s="5346">
        <f t="shared" si="13"/>
        <v>100</v>
      </c>
      <c r="E20" s="5346">
        <f t="shared" si="1"/>
        <v>17000</v>
      </c>
      <c r="F20" s="5346">
        <f>+'Phụ lục số 7'!F20</f>
        <v>0</v>
      </c>
      <c r="G20" s="5346">
        <v>100</v>
      </c>
      <c r="H20" s="5346">
        <f t="shared" si="14"/>
        <v>0</v>
      </c>
      <c r="I20" s="5346">
        <f>+'Phụ lục số 7'!I20</f>
        <v>250</v>
      </c>
      <c r="J20" s="5346">
        <v>100</v>
      </c>
      <c r="K20" s="5346">
        <f t="shared" si="2"/>
        <v>250</v>
      </c>
      <c r="L20" s="5346">
        <f>+'Phụ lục số 7'!L20</f>
        <v>300</v>
      </c>
      <c r="M20" s="5346">
        <v>100</v>
      </c>
      <c r="N20" s="5346">
        <f t="shared" si="3"/>
        <v>300</v>
      </c>
      <c r="O20" s="5346">
        <f>+'Phụ lục số 7'!O20</f>
        <v>200</v>
      </c>
      <c r="P20" s="5346">
        <v>100</v>
      </c>
      <c r="Q20" s="5346">
        <f t="shared" si="15"/>
        <v>200</v>
      </c>
      <c r="R20" s="5346">
        <f>+'Phụ lục số 7'!R20</f>
        <v>1200</v>
      </c>
      <c r="S20" s="5346">
        <v>100</v>
      </c>
      <c r="T20" s="5346">
        <f t="shared" si="4"/>
        <v>1200</v>
      </c>
      <c r="U20" s="5346">
        <f>+'Phụ lục số 7'!U20</f>
        <v>4300</v>
      </c>
      <c r="V20" s="5346">
        <v>100</v>
      </c>
      <c r="W20" s="5347">
        <f t="shared" si="5"/>
        <v>4300</v>
      </c>
      <c r="X20" s="5348">
        <f>+'Phụ lục số 7'!X20</f>
        <v>2250</v>
      </c>
      <c r="Y20" s="5346">
        <v>100</v>
      </c>
      <c r="Z20" s="5346">
        <f t="shared" si="6"/>
        <v>2250</v>
      </c>
      <c r="AA20" s="5346">
        <f>+'Phụ lục số 7'!AA20</f>
        <v>2500</v>
      </c>
      <c r="AB20" s="5346">
        <v>100</v>
      </c>
      <c r="AC20" s="5346">
        <f t="shared" si="7"/>
        <v>2500</v>
      </c>
      <c r="AD20" s="5346">
        <f>+'Phụ lục số 7'!AD20</f>
        <v>800</v>
      </c>
      <c r="AE20" s="5346">
        <v>100</v>
      </c>
      <c r="AF20" s="5346">
        <f t="shared" si="8"/>
        <v>800</v>
      </c>
      <c r="AG20" s="5346">
        <f>+'Phụ lục số 7'!AG20</f>
        <v>1200</v>
      </c>
      <c r="AH20" s="5346">
        <v>100</v>
      </c>
      <c r="AI20" s="5346">
        <f t="shared" si="9"/>
        <v>1200</v>
      </c>
      <c r="AJ20" s="5346">
        <f>+'Phụ lục số 7'!AJ20</f>
        <v>3000</v>
      </c>
      <c r="AK20" s="5346">
        <v>100</v>
      </c>
      <c r="AL20" s="5346">
        <f t="shared" si="10"/>
        <v>3000</v>
      </c>
      <c r="AM20" s="2699">
        <f>+'Phụ lục số 7'!AM20</f>
        <v>1000</v>
      </c>
      <c r="AN20" s="2699">
        <v>100</v>
      </c>
      <c r="AO20" s="2700">
        <f t="shared" si="11"/>
        <v>1000</v>
      </c>
    </row>
    <row r="21" spans="1:41" s="4970" customFormat="1">
      <c r="A21" s="4971">
        <v>6</v>
      </c>
      <c r="B21" s="4972" t="s">
        <v>793</v>
      </c>
      <c r="C21" s="5346">
        <f>SUM(C22:C24)</f>
        <v>110400</v>
      </c>
      <c r="D21" s="5346"/>
      <c r="E21" s="5346">
        <f>SUM(E22:E24)</f>
        <v>72400</v>
      </c>
      <c r="F21" s="5346">
        <f>SUM(F22:F24)</f>
        <v>7500</v>
      </c>
      <c r="G21" s="5346"/>
      <c r="H21" s="5346">
        <f>SUM(H22:H24)</f>
        <v>4200</v>
      </c>
      <c r="I21" s="5346">
        <f>SUM(I22:I24)</f>
        <v>6000</v>
      </c>
      <c r="J21" s="5346"/>
      <c r="K21" s="5346">
        <f>SUM(K22:K24)</f>
        <v>3000</v>
      </c>
      <c r="L21" s="5346">
        <f>SUM(L22:L24)</f>
        <v>3500</v>
      </c>
      <c r="M21" s="5346"/>
      <c r="N21" s="5346">
        <f>SUM(N22:N24)</f>
        <v>1850</v>
      </c>
      <c r="O21" s="5346">
        <f>SUM(O22:O24)</f>
        <v>4500</v>
      </c>
      <c r="P21" s="5346"/>
      <c r="Q21" s="5346">
        <f>SUM(Q22:Q24)</f>
        <v>2500</v>
      </c>
      <c r="R21" s="5346">
        <f>SUM(R22:R24)</f>
        <v>6000</v>
      </c>
      <c r="S21" s="5346"/>
      <c r="T21" s="5346">
        <f>SUM(T22:T24)</f>
        <v>3600</v>
      </c>
      <c r="U21" s="5346">
        <f>SUM(U22:U24)</f>
        <v>17000</v>
      </c>
      <c r="V21" s="5346"/>
      <c r="W21" s="5347">
        <f>SUM(W22:W24)</f>
        <v>12800</v>
      </c>
      <c r="X21" s="5348">
        <f>SUM(X22:X24)</f>
        <v>10000</v>
      </c>
      <c r="Y21" s="5346"/>
      <c r="Z21" s="5346">
        <f>SUM(Z22:Z24)</f>
        <v>7600</v>
      </c>
      <c r="AA21" s="5346">
        <f>SUM(AA22:AA24)</f>
        <v>10000</v>
      </c>
      <c r="AB21" s="5346"/>
      <c r="AC21" s="5346">
        <f>SUM(AC22:AC24)</f>
        <v>7000</v>
      </c>
      <c r="AD21" s="5346">
        <f>SUM(AD22:AD24)</f>
        <v>15400</v>
      </c>
      <c r="AE21" s="5346"/>
      <c r="AF21" s="5346">
        <f>SUM(AF22:AF24)</f>
        <v>10900</v>
      </c>
      <c r="AG21" s="5346">
        <f>SUM(AG22:AG24)</f>
        <v>8000</v>
      </c>
      <c r="AH21" s="5346"/>
      <c r="AI21" s="5346">
        <f>SUM(AI22:AI24)</f>
        <v>5200</v>
      </c>
      <c r="AJ21" s="5346">
        <f>SUM(AJ22:AJ24)</f>
        <v>15500</v>
      </c>
      <c r="AK21" s="5346"/>
      <c r="AL21" s="5346">
        <f>SUM(AL22:AL24)</f>
        <v>9500</v>
      </c>
      <c r="AM21" s="2699">
        <f>SUM(AM22:AM24)</f>
        <v>7000</v>
      </c>
      <c r="AN21" s="2699"/>
      <c r="AO21" s="2700">
        <f>SUM(AO22:AO24)</f>
        <v>4250</v>
      </c>
    </row>
    <row r="22" spans="1:41" s="2750" customFormat="1" ht="36" hidden="1">
      <c r="A22" s="5351"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49">
        <f>U22*V22/100</f>
        <v>0</v>
      </c>
      <c r="X22" s="5350">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51"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49">
        <f>U23*V23/100</f>
        <v>0</v>
      </c>
      <c r="X23" s="5350">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51"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49">
        <f>U24*V24/100</f>
        <v>12800</v>
      </c>
      <c r="X24" s="5350">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70" customFormat="1">
      <c r="A25" s="4971">
        <v>7</v>
      </c>
      <c r="B25" s="4972" t="s">
        <v>24</v>
      </c>
      <c r="C25" s="5346">
        <f>SUM(C26:C27)</f>
        <v>201000</v>
      </c>
      <c r="D25" s="5346"/>
      <c r="E25" s="5346">
        <f>SUM(E26:E27)</f>
        <v>180900</v>
      </c>
      <c r="F25" s="5346">
        <f>SUM(F26:F27)</f>
        <v>2000</v>
      </c>
      <c r="G25" s="5346"/>
      <c r="H25" s="5346">
        <f>SUM(H26:H27)</f>
        <v>1800</v>
      </c>
      <c r="I25" s="5346">
        <f>SUM(I26:I27)</f>
        <v>6000</v>
      </c>
      <c r="J25" s="5346"/>
      <c r="K25" s="5346">
        <f>SUM(K26:K27)</f>
        <v>5400</v>
      </c>
      <c r="L25" s="5346">
        <f>SUM(L26:L27)</f>
        <v>1000</v>
      </c>
      <c r="M25" s="5346"/>
      <c r="N25" s="5346">
        <f>SUM(N26:N27)</f>
        <v>900</v>
      </c>
      <c r="O25" s="5346">
        <f>SUM(O26:O27)</f>
        <v>2000</v>
      </c>
      <c r="P25" s="5346"/>
      <c r="Q25" s="5346">
        <f>SUM(Q26:Q27)</f>
        <v>1800</v>
      </c>
      <c r="R25" s="5346">
        <f>SUM(R26:R27)</f>
        <v>10000</v>
      </c>
      <c r="S25" s="5346"/>
      <c r="T25" s="5346">
        <f>SUM(T26:T27)</f>
        <v>9000</v>
      </c>
      <c r="U25" s="5346">
        <f>SUM(U26:U27)</f>
        <v>145000</v>
      </c>
      <c r="V25" s="5346"/>
      <c r="W25" s="5347">
        <f>SUM(W26:W27)</f>
        <v>130500</v>
      </c>
      <c r="X25" s="5348">
        <f>SUM(X26:X27)</f>
        <v>4500</v>
      </c>
      <c r="Y25" s="5346"/>
      <c r="Z25" s="5346">
        <f>SUM(Z26:Z27)</f>
        <v>4050</v>
      </c>
      <c r="AA25" s="5346">
        <f>SUM(AA26:AA27)</f>
        <v>2500</v>
      </c>
      <c r="AB25" s="5346"/>
      <c r="AC25" s="5346">
        <f>SUM(AC26:AC27)</f>
        <v>2250</v>
      </c>
      <c r="AD25" s="5346">
        <f>SUM(AD26:AD27)</f>
        <v>5000</v>
      </c>
      <c r="AE25" s="5346"/>
      <c r="AF25" s="5346">
        <f>SUM(AF26:AF27)</f>
        <v>4500</v>
      </c>
      <c r="AG25" s="5346">
        <f>SUM(AG26:AG27)</f>
        <v>2000</v>
      </c>
      <c r="AH25" s="5346"/>
      <c r="AI25" s="5346">
        <f>SUM(AI26:AI27)</f>
        <v>1800</v>
      </c>
      <c r="AJ25" s="5346">
        <f>SUM(AJ26:AJ27)</f>
        <v>17000</v>
      </c>
      <c r="AK25" s="5346"/>
      <c r="AL25" s="5346">
        <f>SUM(AL26:AL27)</f>
        <v>15300</v>
      </c>
      <c r="AM25" s="2699">
        <f>SUM(AM26:AM27)</f>
        <v>4000</v>
      </c>
      <c r="AN25" s="2699"/>
      <c r="AO25" s="2700">
        <f>SUM(AO26:AO27)</f>
        <v>3600</v>
      </c>
    </row>
    <row r="26" spans="1:41" s="2750" customFormat="1" ht="36" hidden="1">
      <c r="A26" s="5351"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49"/>
      <c r="X26" s="5350">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51"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49">
        <f>U27*V27/100</f>
        <v>130500</v>
      </c>
      <c r="X27" s="5350">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70" customFormat="1">
      <c r="A28" s="4971">
        <v>8</v>
      </c>
      <c r="B28" s="4972" t="s">
        <v>797</v>
      </c>
      <c r="C28" s="5346">
        <f>SUM(C29:C30)</f>
        <v>1600000</v>
      </c>
      <c r="D28" s="5346"/>
      <c r="E28" s="5346">
        <f>SUM(E29:E30)</f>
        <v>1093500</v>
      </c>
      <c r="F28" s="5346">
        <f>SUM(F29:F30)</f>
        <v>60000</v>
      </c>
      <c r="G28" s="5346"/>
      <c r="H28" s="5346">
        <f>SUM(H29:H30)</f>
        <v>54000</v>
      </c>
      <c r="I28" s="5346">
        <f>SUM(I29:I30)</f>
        <v>290000</v>
      </c>
      <c r="J28" s="5346"/>
      <c r="K28" s="5346">
        <f>SUM(K29:K30)</f>
        <v>261000</v>
      </c>
      <c r="L28" s="5346">
        <f>SUM(L29:L30)</f>
        <v>30000</v>
      </c>
      <c r="M28" s="5346"/>
      <c r="N28" s="5346">
        <f>SUM(N29:N30)</f>
        <v>27000</v>
      </c>
      <c r="O28" s="5346">
        <f>SUM(O29:O30)</f>
        <v>60000</v>
      </c>
      <c r="P28" s="5346"/>
      <c r="Q28" s="5346">
        <f>SUM(Q29:Q30)</f>
        <v>54000</v>
      </c>
      <c r="R28" s="5346">
        <f>SUM(R29:R30)</f>
        <v>50000</v>
      </c>
      <c r="S28" s="5346"/>
      <c r="T28" s="5346">
        <f>SUM(T29:T30)</f>
        <v>45000</v>
      </c>
      <c r="U28" s="5346">
        <f>SUM(U29:U30)</f>
        <v>310000</v>
      </c>
      <c r="V28" s="5346"/>
      <c r="W28" s="5347">
        <f>SUM(W29:W30)</f>
        <v>144000</v>
      </c>
      <c r="X28" s="5348">
        <f>SUM(X29:X30)</f>
        <v>75000</v>
      </c>
      <c r="Y28" s="5346"/>
      <c r="Z28" s="5346">
        <f>SUM(Z29:Z30)</f>
        <v>67500</v>
      </c>
      <c r="AA28" s="5346">
        <f>SUM(AA29:AA30)</f>
        <v>100000</v>
      </c>
      <c r="AB28" s="5346"/>
      <c r="AC28" s="5346">
        <f>SUM(AC29:AC30)</f>
        <v>90000</v>
      </c>
      <c r="AD28" s="5346">
        <f>SUM(AD29:AD30)</f>
        <v>60000</v>
      </c>
      <c r="AE28" s="5346"/>
      <c r="AF28" s="5346">
        <f>SUM(AF29:AF30)</f>
        <v>54000</v>
      </c>
      <c r="AG28" s="5346">
        <f>SUM(AG29:AG30)</f>
        <v>70000</v>
      </c>
      <c r="AH28" s="5346"/>
      <c r="AI28" s="5346">
        <f>SUM(AI29:AI30)</f>
        <v>63000</v>
      </c>
      <c r="AJ28" s="5346">
        <f>SUM(AJ29:AJ30)</f>
        <v>395000</v>
      </c>
      <c r="AK28" s="5346"/>
      <c r="AL28" s="5346">
        <f>SUM(AL29:AL30)</f>
        <v>144000</v>
      </c>
      <c r="AM28" s="2699">
        <f>SUM(AM29:AM30)</f>
        <v>100000</v>
      </c>
      <c r="AN28" s="2699"/>
      <c r="AO28" s="2700">
        <f>SUM(AO29:AO30)</f>
        <v>90000</v>
      </c>
    </row>
    <row r="29" spans="1:41" s="2750" customFormat="1" ht="36" hidden="1">
      <c r="A29" s="5351"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49">
        <f>U29*V29/100</f>
        <v>0</v>
      </c>
      <c r="X29" s="5350">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51"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49">
        <f>U30*V30/100</f>
        <v>144000</v>
      </c>
      <c r="X30" s="5350">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70" customFormat="1">
      <c r="A31" s="4971">
        <v>9</v>
      </c>
      <c r="B31" s="4972" t="s">
        <v>798</v>
      </c>
      <c r="C31" s="5346">
        <f>SUM(C32:C34)</f>
        <v>330000</v>
      </c>
      <c r="D31" s="5346"/>
      <c r="E31" s="5346">
        <f>SUM(E32:E34)</f>
        <v>206500</v>
      </c>
      <c r="F31" s="5346">
        <f>SUM(F32:F34)</f>
        <v>29000</v>
      </c>
      <c r="G31" s="5346"/>
      <c r="H31" s="5346">
        <f>SUM(H32:H34)</f>
        <v>27000</v>
      </c>
      <c r="I31" s="5346">
        <f>SUM(I32:I34)</f>
        <v>14000</v>
      </c>
      <c r="J31" s="5346"/>
      <c r="K31" s="5346">
        <f>SUM(K32:K34)</f>
        <v>8000</v>
      </c>
      <c r="L31" s="5346">
        <f>SUM(L32:L34)</f>
        <v>10000</v>
      </c>
      <c r="M31" s="5346"/>
      <c r="N31" s="5346">
        <f>SUM(N32:N34)</f>
        <v>9000</v>
      </c>
      <c r="O31" s="5346">
        <f>SUM(O32:O34)</f>
        <v>22000</v>
      </c>
      <c r="P31" s="5346"/>
      <c r="Q31" s="5346">
        <f>SUM(Q32:Q34)</f>
        <v>13000</v>
      </c>
      <c r="R31" s="5346">
        <f>SUM(R32:R34)</f>
        <v>25000</v>
      </c>
      <c r="S31" s="5346"/>
      <c r="T31" s="5346">
        <f>SUM(T32:T34)</f>
        <v>18500</v>
      </c>
      <c r="U31" s="5346">
        <f>SUM(U32:U34)</f>
        <v>90000</v>
      </c>
      <c r="V31" s="5346"/>
      <c r="W31" s="5347">
        <f>SUM(W32:W34)</f>
        <v>25499.999999999989</v>
      </c>
      <c r="X31" s="5348">
        <f>SUM(X32:X34)</f>
        <v>26000</v>
      </c>
      <c r="Y31" s="5346"/>
      <c r="Z31" s="5346">
        <f>SUM(Z32:Z34)</f>
        <v>16000</v>
      </c>
      <c r="AA31" s="5346">
        <f>SUM(AA32:AA34)</f>
        <v>20000</v>
      </c>
      <c r="AB31" s="5346"/>
      <c r="AC31" s="5346">
        <f>SUM(AC32:AC34)</f>
        <v>14500</v>
      </c>
      <c r="AD31" s="5346">
        <f>SUM(AD32:AD34)</f>
        <v>25000</v>
      </c>
      <c r="AE31" s="5346"/>
      <c r="AF31" s="5346">
        <f>SUM(AF32:AF34)</f>
        <v>20000</v>
      </c>
      <c r="AG31" s="5346">
        <f>SUM(AG32:AG34)</f>
        <v>21000</v>
      </c>
      <c r="AH31" s="5346"/>
      <c r="AI31" s="5346">
        <f>SUM(AI32:AI34)</f>
        <v>18000</v>
      </c>
      <c r="AJ31" s="5346">
        <f>SUM(AJ32:AJ34)</f>
        <v>33000</v>
      </c>
      <c r="AK31" s="5346"/>
      <c r="AL31" s="5346">
        <f>SUM(AL32:AL34)</f>
        <v>25000</v>
      </c>
      <c r="AM31" s="2699">
        <f>SUM(AM32:AM34)</f>
        <v>15000</v>
      </c>
      <c r="AN31" s="2699"/>
      <c r="AO31" s="2700">
        <f>SUM(AO32:AO34)</f>
        <v>12000</v>
      </c>
    </row>
    <row r="32" spans="1:41" s="2750" customFormat="1" hidden="1">
      <c r="A32" s="5351"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49">
        <f>U32*V32/100</f>
        <v>0</v>
      </c>
      <c r="X32" s="5350">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51"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49">
        <f>U33*V33/100</f>
        <v>0</v>
      </c>
      <c r="X33" s="5350">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51"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49">
        <f>U34*V34/100</f>
        <v>25499.999999999989</v>
      </c>
      <c r="X34" s="5350">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71">
        <v>10</v>
      </c>
      <c r="B35" s="4972" t="s">
        <v>31</v>
      </c>
      <c r="C35" s="5346">
        <f t="shared" si="16"/>
        <v>2000</v>
      </c>
      <c r="D35" s="5346">
        <f t="shared" si="13"/>
        <v>100</v>
      </c>
      <c r="E35" s="5346">
        <f t="shared" si="17"/>
        <v>2000</v>
      </c>
      <c r="F35" s="5352">
        <f>+'Phụ lục số 7'!F35</f>
        <v>150</v>
      </c>
      <c r="G35" s="5346">
        <v>100</v>
      </c>
      <c r="H35" s="5346">
        <f>F35*G35/100</f>
        <v>150</v>
      </c>
      <c r="I35" s="5346">
        <f>+'Phụ lục số 7'!I35</f>
        <v>100</v>
      </c>
      <c r="J35" s="5346">
        <v>100</v>
      </c>
      <c r="K35" s="5346">
        <f>I35*J35/100</f>
        <v>100</v>
      </c>
      <c r="L35" s="5346">
        <f>+'Phụ lục số 7'!L35</f>
        <v>0</v>
      </c>
      <c r="M35" s="5346">
        <v>100</v>
      </c>
      <c r="N35" s="5346">
        <f>L35*M35/100</f>
        <v>0</v>
      </c>
      <c r="O35" s="5346">
        <f>+'Phụ lục số 7'!O35</f>
        <v>0</v>
      </c>
      <c r="P35" s="5346">
        <v>100</v>
      </c>
      <c r="Q35" s="5346">
        <f>O35*P35/100</f>
        <v>0</v>
      </c>
      <c r="R35" s="5346">
        <f>+'Phụ lục số 7'!R35</f>
        <v>0</v>
      </c>
      <c r="S35" s="5346">
        <v>100</v>
      </c>
      <c r="T35" s="5346">
        <f>R35*S35/100</f>
        <v>0</v>
      </c>
      <c r="U35" s="5346">
        <f>+'Phụ lục số 7'!U35</f>
        <v>200</v>
      </c>
      <c r="V35" s="5346">
        <v>100</v>
      </c>
      <c r="W35" s="5347">
        <f>U35*V35/100</f>
        <v>200</v>
      </c>
      <c r="X35" s="5348">
        <f>+'Phụ lục số 7'!X35</f>
        <v>200</v>
      </c>
      <c r="Y35" s="5346">
        <v>100</v>
      </c>
      <c r="Z35" s="5346">
        <f>X35*Y35/100</f>
        <v>200</v>
      </c>
      <c r="AA35" s="5346">
        <f>+'Phụ lục số 7'!AA35</f>
        <v>800</v>
      </c>
      <c r="AB35" s="5346">
        <v>100</v>
      </c>
      <c r="AC35" s="5346">
        <f>AA35*AB35/100</f>
        <v>800</v>
      </c>
      <c r="AD35" s="5346">
        <f>+'Phụ lục số 7'!AD35</f>
        <v>0</v>
      </c>
      <c r="AE35" s="5346">
        <v>100</v>
      </c>
      <c r="AF35" s="5346">
        <f>AD35*AE35/100</f>
        <v>0</v>
      </c>
      <c r="AG35" s="5346">
        <f>+'Phụ lục số 7'!AG35</f>
        <v>0</v>
      </c>
      <c r="AH35" s="5346">
        <v>100</v>
      </c>
      <c r="AI35" s="5346">
        <f>AG35*AH35/100</f>
        <v>0</v>
      </c>
      <c r="AJ35" s="5346">
        <f>+'Phụ lục số 7'!AJ35</f>
        <v>500</v>
      </c>
      <c r="AK35" s="5346">
        <v>100</v>
      </c>
      <c r="AL35" s="5346">
        <f>AJ35*AK35/100</f>
        <v>500</v>
      </c>
      <c r="AM35" s="2699">
        <f>+'Phụ lục số 7'!AM35</f>
        <v>50</v>
      </c>
      <c r="AN35" s="2699">
        <v>100</v>
      </c>
      <c r="AO35" s="2700">
        <f>AM35*AN35/100</f>
        <v>50</v>
      </c>
    </row>
    <row r="36" spans="1:41" s="4970" customFormat="1">
      <c r="A36" s="4971" t="s">
        <v>33</v>
      </c>
      <c r="B36" s="4972" t="s">
        <v>802</v>
      </c>
      <c r="C36" s="5346">
        <f>SUM(F36,L36,O36,R36,U36,X36,AA36,AD36,AG36,AJ36,AM36,I36)</f>
        <v>7078351.9069999997</v>
      </c>
      <c r="D36" s="5346"/>
      <c r="E36" s="5346">
        <f t="shared" si="17"/>
        <v>7078351.9069999997</v>
      </c>
      <c r="F36" s="5346">
        <f>SUM(F37:F39)</f>
        <v>620300.99</v>
      </c>
      <c r="G36" s="5346"/>
      <c r="H36" s="5346">
        <f>F36</f>
        <v>620300.99</v>
      </c>
      <c r="I36" s="5346">
        <f>SUM(I37:I39)</f>
        <v>414420.174</v>
      </c>
      <c r="J36" s="5346"/>
      <c r="K36" s="5346">
        <f>I36</f>
        <v>414420.174</v>
      </c>
      <c r="L36" s="5346">
        <f>SUM(L37:L39)</f>
        <v>578186.21900000004</v>
      </c>
      <c r="M36" s="5346"/>
      <c r="N36" s="5346">
        <f>L36</f>
        <v>578186.21900000004</v>
      </c>
      <c r="O36" s="5346">
        <f>SUM(O37:O39)</f>
        <v>624717.45200000005</v>
      </c>
      <c r="P36" s="5346"/>
      <c r="Q36" s="5346">
        <f>O36</f>
        <v>624717.45200000005</v>
      </c>
      <c r="R36" s="5346">
        <f>SUM(R37:R39)</f>
        <v>751634.22600000002</v>
      </c>
      <c r="S36" s="5346"/>
      <c r="T36" s="5346">
        <f>R36</f>
        <v>751634.22600000002</v>
      </c>
      <c r="U36" s="5346">
        <f>SUM(U37:U39)</f>
        <v>96559.929000000004</v>
      </c>
      <c r="V36" s="5346"/>
      <c r="W36" s="5347">
        <f>U36</f>
        <v>96559.929000000004</v>
      </c>
      <c r="X36" s="5348">
        <f>SUM(X37:X39)</f>
        <v>904084.62100000004</v>
      </c>
      <c r="Y36" s="5346"/>
      <c r="Z36" s="5346">
        <f>X36</f>
        <v>904084.62100000004</v>
      </c>
      <c r="AA36" s="5346">
        <f>SUM(AA37:AA39)</f>
        <v>736843.87899999996</v>
      </c>
      <c r="AB36" s="5346"/>
      <c r="AC36" s="5346">
        <f>AA36</f>
        <v>736843.87899999996</v>
      </c>
      <c r="AD36" s="5346">
        <f>SUM(AD37:AD39)</f>
        <v>750709.82700000005</v>
      </c>
      <c r="AE36" s="5346"/>
      <c r="AF36" s="5346">
        <f>AD36</f>
        <v>750709.82700000005</v>
      </c>
      <c r="AG36" s="5346">
        <f>SUM(AG37:AG39)</f>
        <v>668080.38300000003</v>
      </c>
      <c r="AH36" s="5346"/>
      <c r="AI36" s="5346">
        <f>AG36</f>
        <v>668080.38300000003</v>
      </c>
      <c r="AJ36" s="5346">
        <f>SUM(AJ37:AJ39)</f>
        <v>304362.73499999999</v>
      </c>
      <c r="AK36" s="5346"/>
      <c r="AL36" s="5346">
        <f>AJ36</f>
        <v>304362.73499999999</v>
      </c>
      <c r="AM36" s="2699">
        <f>SUM(AM37:AM39)</f>
        <v>628451.47200000007</v>
      </c>
      <c r="AN36" s="2699"/>
      <c r="AO36" s="2700">
        <f>AM36</f>
        <v>628451.47200000007</v>
      </c>
    </row>
    <row r="37" spans="1:41" s="2750" customFormat="1">
      <c r="A37" s="907">
        <v>1</v>
      </c>
      <c r="B37" s="4968"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49">
        <f>U37</f>
        <v>37354</v>
      </c>
      <c r="X37" s="5350">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3136</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49">
        <f t="shared" ref="W38:W39" si="22">U38</f>
        <v>0</v>
      </c>
      <c r="X38" s="5350">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68"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49">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53" t="s">
        <v>182</v>
      </c>
      <c r="B40" s="5354" t="s">
        <v>1721</v>
      </c>
      <c r="C40" s="5346">
        <f>SUM(F40,L40,O40,R40,U40,X40,AA40,AD40,AG40,AJ40,AM40,I40)</f>
        <v>941000</v>
      </c>
      <c r="D40" s="5355"/>
      <c r="E40" s="5346">
        <f>SUM(H40,N40,Q40,T40,W40,Z40,AC40,AF40,AI40,AL40,AO40,K40)</f>
        <v>941000</v>
      </c>
      <c r="F40" s="5355">
        <f>+'Phụ lục số 7'!F40</f>
        <v>45493</v>
      </c>
      <c r="G40" s="5355"/>
      <c r="H40" s="5355">
        <f>+F40</f>
        <v>45493</v>
      </c>
      <c r="I40" s="5355">
        <f>+'Phụ lục số 7'!I40</f>
        <v>0</v>
      </c>
      <c r="J40" s="5355"/>
      <c r="K40" s="5355">
        <f>I40</f>
        <v>0</v>
      </c>
      <c r="L40" s="5355">
        <f>+'Phụ lục số 7'!L40</f>
        <v>36240</v>
      </c>
      <c r="M40" s="5355"/>
      <c r="N40" s="5355">
        <f>L40</f>
        <v>36240</v>
      </c>
      <c r="O40" s="5355">
        <f>+'Phụ lục số 7'!O40</f>
        <v>16410</v>
      </c>
      <c r="P40" s="5355"/>
      <c r="Q40" s="5355">
        <f>O40</f>
        <v>16410</v>
      </c>
      <c r="R40" s="5355">
        <f>+'Phụ lục số 7'!R40</f>
        <v>17902</v>
      </c>
      <c r="S40" s="5355"/>
      <c r="T40" s="5355">
        <f>R40</f>
        <v>17902</v>
      </c>
      <c r="U40" s="5355">
        <f>+'Phụ lục số 7'!U40</f>
        <v>517247</v>
      </c>
      <c r="V40" s="5355"/>
      <c r="W40" s="5356">
        <f>U40</f>
        <v>517247</v>
      </c>
      <c r="X40" s="5357">
        <f>+'Phụ lục số 7'!X40</f>
        <v>45892</v>
      </c>
      <c r="Y40" s="5355"/>
      <c r="Z40" s="5355">
        <f>X40</f>
        <v>45892</v>
      </c>
      <c r="AA40" s="5355">
        <f>+'Phụ lục số 7'!AA40</f>
        <v>20039</v>
      </c>
      <c r="AB40" s="5355"/>
      <c r="AC40" s="5355">
        <f>AA40</f>
        <v>20039</v>
      </c>
      <c r="AD40" s="5355">
        <f>+'Phụ lục số 7'!AD40</f>
        <v>0</v>
      </c>
      <c r="AE40" s="5355"/>
      <c r="AF40" s="5355">
        <f>AD40</f>
        <v>0</v>
      </c>
      <c r="AG40" s="5355">
        <f>+'Phụ lục số 7'!AG40</f>
        <v>16209</v>
      </c>
      <c r="AH40" s="5355"/>
      <c r="AI40" s="5355">
        <f>AG40</f>
        <v>16209</v>
      </c>
      <c r="AJ40" s="5355">
        <f>+'Phụ lục số 7'!AJ40</f>
        <v>203111</v>
      </c>
      <c r="AK40" s="5355"/>
      <c r="AL40" s="5355">
        <f>AJ40</f>
        <v>203111</v>
      </c>
      <c r="AM40" s="5358">
        <f>+'Phụ lục số 7'!AM40</f>
        <v>22457</v>
      </c>
      <c r="AN40" s="5358"/>
      <c r="AO40" s="5359">
        <f>AM40</f>
        <v>22457</v>
      </c>
    </row>
    <row r="41" spans="1:41" s="2750" customFormat="1" ht="23.25" customHeight="1" thickBot="1">
      <c r="A41" s="5360"/>
      <c r="B41" s="5361"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62">
        <f>SUM(W7,W36,W40)</f>
        <v>1814306.929</v>
      </c>
      <c r="X41" s="5363"/>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64">
        <f>SUM(AO7,AO36,AO40)</f>
        <v>871518.47200000007</v>
      </c>
    </row>
    <row r="42" spans="1:41" s="2750" customFormat="1" ht="18.600000000000001" thickTop="1">
      <c r="A42" s="4965"/>
      <c r="B42" s="4965"/>
      <c r="C42" s="4966"/>
      <c r="D42" s="4966"/>
      <c r="E42" s="4966"/>
      <c r="F42" s="4966"/>
      <c r="G42" s="4966"/>
      <c r="H42" s="4966"/>
      <c r="I42" s="4966"/>
      <c r="J42" s="4966"/>
      <c r="K42" s="4966"/>
      <c r="L42" s="4966"/>
      <c r="M42" s="4966"/>
      <c r="N42" s="4966"/>
      <c r="O42" s="4966"/>
      <c r="P42" s="4966"/>
      <c r="Q42" s="4966"/>
      <c r="R42" s="4966"/>
      <c r="S42" s="4966"/>
      <c r="T42" s="4966"/>
      <c r="U42" s="4966"/>
      <c r="V42" s="4966"/>
      <c r="W42" s="4966"/>
      <c r="X42" s="4966"/>
      <c r="Y42" s="4966"/>
      <c r="Z42" s="4966"/>
      <c r="AA42" s="4966"/>
      <c r="AB42" s="4966"/>
      <c r="AC42" s="4966"/>
      <c r="AD42" s="4966"/>
      <c r="AE42" s="4966"/>
      <c r="AF42" s="4966"/>
      <c r="AG42" s="4966"/>
      <c r="AH42" s="4966"/>
      <c r="AI42" s="4966"/>
      <c r="AJ42" s="4966"/>
      <c r="AK42" s="4966"/>
      <c r="AL42" s="4966"/>
      <c r="AM42" s="4967"/>
      <c r="AN42" s="4967"/>
      <c r="AO42" s="4966"/>
    </row>
    <row r="43" spans="1:41" s="2750" customFormat="1">
      <c r="A43" s="4965"/>
      <c r="B43" s="4965"/>
      <c r="C43" s="4966"/>
      <c r="D43" s="4966"/>
      <c r="E43" s="4966"/>
      <c r="F43" s="4966"/>
      <c r="G43" s="4966"/>
      <c r="H43" s="4966"/>
      <c r="I43" s="4966"/>
      <c r="J43" s="4966"/>
      <c r="K43" s="4966"/>
      <c r="L43" s="4966"/>
      <c r="M43" s="4966"/>
      <c r="N43" s="4966"/>
      <c r="O43" s="4966"/>
      <c r="P43" s="4966"/>
      <c r="Q43" s="4966"/>
      <c r="R43" s="4966"/>
      <c r="S43" s="4966"/>
      <c r="T43" s="4966"/>
      <c r="U43" s="4966"/>
      <c r="V43" s="4966"/>
      <c r="W43" s="4966"/>
      <c r="X43" s="4966"/>
      <c r="Y43" s="4966"/>
      <c r="Z43" s="4966"/>
      <c r="AA43" s="4966"/>
      <c r="AB43" s="4966"/>
      <c r="AC43" s="4966"/>
      <c r="AD43" s="4966"/>
      <c r="AE43" s="4966"/>
      <c r="AF43" s="4966"/>
      <c r="AG43" s="4966"/>
      <c r="AH43" s="4966"/>
      <c r="AI43" s="4966"/>
      <c r="AJ43" s="4966"/>
      <c r="AK43" s="4966"/>
      <c r="AL43" s="4966"/>
      <c r="AM43" s="4967"/>
      <c r="AN43" s="4967"/>
      <c r="AO43" s="4966"/>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73" customWidth="1"/>
    <col min="2" max="2" width="47.88671875" style="679" customWidth="1"/>
    <col min="3" max="15" width="11.5546875" style="679" customWidth="1"/>
    <col min="16" max="16384" width="10.33203125" style="679"/>
  </cols>
  <sheetData>
    <row r="1" spans="1:15">
      <c r="A1" s="6743" t="s">
        <v>3193</v>
      </c>
      <c r="B1" s="6744"/>
      <c r="C1" s="6744"/>
      <c r="D1" s="6744"/>
      <c r="E1" s="6744"/>
      <c r="F1" s="6744"/>
      <c r="G1" s="6744"/>
      <c r="H1" s="6744"/>
      <c r="I1" s="6744"/>
      <c r="J1" s="6744"/>
      <c r="K1" s="6744"/>
      <c r="L1" s="6744"/>
      <c r="M1" s="6744"/>
      <c r="N1" s="6744"/>
      <c r="O1" s="6744"/>
    </row>
    <row r="2" spans="1:15">
      <c r="A2" s="6510" t="str">
        <f>+'Phụ lục 6-HĐND'!A2:E2</f>
        <v>(Kèm theo Nghị quyết số         /NQ-HĐND ngày     /12/2024 của Hội đồng nhân dân Tỉnh)</v>
      </c>
      <c r="B2" s="6510"/>
      <c r="C2" s="6510"/>
      <c r="D2" s="6510"/>
      <c r="E2" s="6510"/>
      <c r="F2" s="6510"/>
      <c r="G2" s="6510"/>
      <c r="H2" s="6510"/>
      <c r="I2" s="6510"/>
      <c r="J2" s="6510"/>
      <c r="K2" s="6510"/>
      <c r="L2" s="6510"/>
      <c r="M2" s="6510"/>
      <c r="N2" s="6510"/>
      <c r="O2" s="6510"/>
    </row>
    <row r="3" spans="1:15">
      <c r="A3" s="2735"/>
      <c r="B3" s="5330"/>
      <c r="C3" s="5330"/>
      <c r="D3" s="5330"/>
      <c r="E3" s="5330"/>
      <c r="F3" s="5330"/>
      <c r="G3" s="5330"/>
      <c r="H3" s="5330"/>
      <c r="I3" s="5330"/>
      <c r="J3" s="5330"/>
      <c r="K3" s="5330"/>
      <c r="L3" s="5330"/>
      <c r="M3" s="5330"/>
      <c r="N3" s="5330"/>
      <c r="O3" s="5330"/>
    </row>
    <row r="4" spans="1:15" ht="18.75" customHeight="1" thickBot="1">
      <c r="L4" s="6739" t="s">
        <v>638</v>
      </c>
      <c r="M4" s="6739"/>
      <c r="N4" s="6739"/>
      <c r="O4" s="6739"/>
    </row>
    <row r="5" spans="1:15" ht="69" customHeight="1" thickTop="1">
      <c r="A5" s="5374" t="s">
        <v>136</v>
      </c>
      <c r="B5" s="4862" t="s">
        <v>810</v>
      </c>
      <c r="C5" s="5375" t="s">
        <v>220</v>
      </c>
      <c r="D5" s="5375" t="s">
        <v>811</v>
      </c>
      <c r="E5" s="5375" t="s">
        <v>252</v>
      </c>
      <c r="F5" s="5375" t="s">
        <v>812</v>
      </c>
      <c r="G5" s="5375" t="s">
        <v>813</v>
      </c>
      <c r="H5" s="5375" t="s">
        <v>814</v>
      </c>
      <c r="I5" s="5375" t="s">
        <v>815</v>
      </c>
      <c r="J5" s="5375" t="s">
        <v>816</v>
      </c>
      <c r="K5" s="5375" t="s">
        <v>817</v>
      </c>
      <c r="L5" s="5375" t="s">
        <v>259</v>
      </c>
      <c r="M5" s="5375" t="s">
        <v>818</v>
      </c>
      <c r="N5" s="5375" t="s">
        <v>819</v>
      </c>
      <c r="O5" s="5376" t="s">
        <v>820</v>
      </c>
    </row>
    <row r="6" spans="1:15" s="2755" customFormat="1" ht="36" customHeight="1">
      <c r="A6" s="5365"/>
      <c r="B6" s="5366" t="s">
        <v>1722</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67">
        <f t="shared" si="0"/>
        <v>871518.47200000007</v>
      </c>
    </row>
    <row r="7" spans="1:15" s="2755" customFormat="1" ht="36" customHeight="1">
      <c r="A7" s="5368"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69">
        <f t="shared" si="1"/>
        <v>123000</v>
      </c>
    </row>
    <row r="8" spans="1:15" s="5284" customFormat="1" ht="36" customHeight="1">
      <c r="A8" s="5377"/>
      <c r="B8" s="193" t="s">
        <v>822</v>
      </c>
      <c r="C8" s="5370">
        <f t="shared" ref="C8:C20" si="2">SUM(D8:O8)</f>
        <v>0</v>
      </c>
      <c r="D8" s="5370"/>
      <c r="E8" s="5370"/>
      <c r="F8" s="5370"/>
      <c r="G8" s="5370"/>
      <c r="H8" s="5370"/>
      <c r="I8" s="5370"/>
      <c r="J8" s="5370"/>
      <c r="K8" s="5370"/>
      <c r="L8" s="5370"/>
      <c r="M8" s="5370"/>
      <c r="N8" s="5370"/>
      <c r="O8" s="5371"/>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68"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69">
        <f>+'Phụ lục số 8'!O10</f>
        <v>712225.96687896887</v>
      </c>
    </row>
    <row r="12" spans="1:15" s="5284" customFormat="1" ht="36" customHeight="1">
      <c r="A12" s="2758"/>
      <c r="B12" s="193" t="s">
        <v>822</v>
      </c>
      <c r="C12" s="5370"/>
      <c r="D12" s="5370"/>
      <c r="E12" s="5370"/>
      <c r="F12" s="5370"/>
      <c r="G12" s="5370"/>
      <c r="H12" s="5370"/>
      <c r="I12" s="5370"/>
      <c r="J12" s="5370"/>
      <c r="K12" s="5370"/>
      <c r="L12" s="5370"/>
      <c r="M12" s="5370"/>
      <c r="N12" s="5370"/>
      <c r="O12" s="5371"/>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68"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69">
        <f>+'Phụ lục số 8'!O14</f>
        <v>16303.4</v>
      </c>
    </row>
    <row r="16" spans="1:15" s="2733" customFormat="1" ht="36" customHeight="1">
      <c r="A16" s="5372" t="s">
        <v>215</v>
      </c>
      <c r="B16" s="2706" t="s">
        <v>176</v>
      </c>
      <c r="C16" s="5378">
        <f>SUM(D16:O16)</f>
        <v>519900</v>
      </c>
      <c r="D16" s="5378">
        <f>+'Phụ lục số 8'!D15</f>
        <v>0</v>
      </c>
      <c r="E16" s="5378">
        <f>+'Phụ lục số 8'!E15</f>
        <v>0</v>
      </c>
      <c r="F16" s="5378">
        <f>+'Phụ lục số 8'!F15</f>
        <v>0</v>
      </c>
      <c r="G16" s="5378">
        <f>+'Phụ lục số 8'!G15</f>
        <v>0</v>
      </c>
      <c r="H16" s="5378">
        <f>+'Phụ lục số 8'!H15</f>
        <v>0</v>
      </c>
      <c r="I16" s="5378">
        <f>+'Phụ lục số 8'!I15</f>
        <v>479075</v>
      </c>
      <c r="J16" s="5378">
        <f>+'Phụ lục số 8'!J15</f>
        <v>0</v>
      </c>
      <c r="K16" s="5378">
        <f>+'Phụ lục số 8'!K15</f>
        <v>0</v>
      </c>
      <c r="L16" s="5378">
        <f>+'Phụ lục số 8'!L15</f>
        <v>0</v>
      </c>
      <c r="M16" s="5378">
        <f>+'Phụ lục số 8'!M15</f>
        <v>0</v>
      </c>
      <c r="N16" s="5378">
        <f>+'Phụ lục số 8'!N15</f>
        <v>40825</v>
      </c>
      <c r="O16" s="5379">
        <f>+'Phụ lục số 8'!O15</f>
        <v>0</v>
      </c>
    </row>
    <row r="17" spans="1:15" s="2734" customFormat="1" ht="36" customHeight="1">
      <c r="A17" s="5372" t="s">
        <v>718</v>
      </c>
      <c r="B17" s="2706" t="s">
        <v>1723</v>
      </c>
      <c r="C17" s="5790">
        <f>SUM(D17:O17)</f>
        <v>254385.00000000003</v>
      </c>
      <c r="D17" s="5790">
        <f>+D21+D22+D20</f>
        <v>19302.758032636266</v>
      </c>
      <c r="E17" s="5790">
        <f t="shared" ref="E17:O17" si="4">+E21+E22+E20</f>
        <v>11849.528977407539</v>
      </c>
      <c r="F17" s="5790">
        <f t="shared" si="4"/>
        <v>20399.725794633185</v>
      </c>
      <c r="G17" s="5790">
        <f t="shared" si="4"/>
        <v>19765.340837184594</v>
      </c>
      <c r="H17" s="5790">
        <f t="shared" si="4"/>
        <v>21624.418889482789</v>
      </c>
      <c r="I17" s="5790">
        <f t="shared" si="4"/>
        <v>17081.235054122637</v>
      </c>
      <c r="J17" s="5790">
        <f t="shared" si="4"/>
        <v>38318.724636092986</v>
      </c>
      <c r="K17" s="5790">
        <f t="shared" si="4"/>
        <v>28926.010526687096</v>
      </c>
      <c r="L17" s="5790">
        <f t="shared" si="4"/>
        <v>27607.515685107792</v>
      </c>
      <c r="M17" s="5790">
        <f t="shared" si="4"/>
        <v>18456.517199497026</v>
      </c>
      <c r="N17" s="5790">
        <f t="shared" si="4"/>
        <v>11064.119246116901</v>
      </c>
      <c r="O17" s="5791">
        <f t="shared" si="4"/>
        <v>19989.1051210312</v>
      </c>
    </row>
    <row r="18" spans="1:15" s="5384" customFormat="1" ht="18.600000000000001" hidden="1" thickTop="1">
      <c r="A18" s="5380" t="s">
        <v>29</v>
      </c>
      <c r="B18" s="5381" t="str">
        <f>'[28]Phụ lục số 6'!B17</f>
        <v>Chi đầu tư xây dựng cơ bản</v>
      </c>
      <c r="C18" s="5382">
        <f t="shared" si="2"/>
        <v>0</v>
      </c>
      <c r="D18" s="5382">
        <f>+'Phụ lục số 8'!D17</f>
        <v>0</v>
      </c>
      <c r="E18" s="5382">
        <f>+'Phụ lục số 8'!E17</f>
        <v>0</v>
      </c>
      <c r="F18" s="5382">
        <f>+'Phụ lục số 8'!F17</f>
        <v>0</v>
      </c>
      <c r="G18" s="5382">
        <f>+'Phụ lục số 8'!G17</f>
        <v>0</v>
      </c>
      <c r="H18" s="5382">
        <f>+'Phụ lục số 8'!H17</f>
        <v>0</v>
      </c>
      <c r="I18" s="5382">
        <f>+'Phụ lục số 8'!I17</f>
        <v>0</v>
      </c>
      <c r="J18" s="5382">
        <f>+'Phụ lục số 8'!J17</f>
        <v>0</v>
      </c>
      <c r="K18" s="5382">
        <f>+'Phụ lục số 8'!K17</f>
        <v>0</v>
      </c>
      <c r="L18" s="5382">
        <f>+'Phụ lục số 8'!L17</f>
        <v>0</v>
      </c>
      <c r="M18" s="5382">
        <f>+'Phụ lục số 8'!M17</f>
        <v>0</v>
      </c>
      <c r="N18" s="5382">
        <f>+'Phụ lục số 8'!N17</f>
        <v>0</v>
      </c>
      <c r="O18" s="5383">
        <f>+'Phụ lục số 8'!O17</f>
        <v>0</v>
      </c>
    </row>
    <row r="19" spans="1:15" s="5384" customFormat="1" hidden="1">
      <c r="A19" s="5385" t="s">
        <v>29</v>
      </c>
      <c r="B19" s="4281" t="str">
        <f>'[28]Phụ lục số 6'!B18</f>
        <v>Chi đầu tư từ nguồn xổ số kiến thiết</v>
      </c>
      <c r="C19" s="5386">
        <f t="shared" si="2"/>
        <v>0</v>
      </c>
      <c r="D19" s="5386">
        <f>+'Phụ lục số 8'!D18</f>
        <v>0</v>
      </c>
      <c r="E19" s="5386">
        <f>+'Phụ lục số 8'!E18</f>
        <v>0</v>
      </c>
      <c r="F19" s="5386">
        <f>+'Phụ lục số 8'!F18</f>
        <v>0</v>
      </c>
      <c r="G19" s="5386">
        <f>+'Phụ lục số 8'!G18</f>
        <v>0</v>
      </c>
      <c r="H19" s="5386">
        <f>+'Phụ lục số 8'!H18</f>
        <v>0</v>
      </c>
      <c r="I19" s="5386">
        <f>+'Phụ lục số 8'!I18</f>
        <v>0</v>
      </c>
      <c r="J19" s="5386">
        <f>+'Phụ lục số 8'!J18</f>
        <v>0</v>
      </c>
      <c r="K19" s="5386">
        <f>+'Phụ lục số 8'!K18</f>
        <v>0</v>
      </c>
      <c r="L19" s="5386">
        <f>+'Phụ lục số 8'!L18</f>
        <v>0</v>
      </c>
      <c r="M19" s="5386">
        <f>+'Phụ lục số 8'!M18</f>
        <v>0</v>
      </c>
      <c r="N19" s="5386">
        <f>+'Phụ lục số 8'!N18</f>
        <v>0</v>
      </c>
      <c r="O19" s="5387">
        <f>+'Phụ lục số 8'!O18</f>
        <v>0</v>
      </c>
    </row>
    <row r="20" spans="1:15" s="2734" customFormat="1" ht="54">
      <c r="A20" s="5385" t="s">
        <v>29</v>
      </c>
      <c r="B20" s="2780" t="s">
        <v>3253</v>
      </c>
      <c r="C20" s="5388">
        <f t="shared" si="2"/>
        <v>11626</v>
      </c>
      <c r="D20" s="5388">
        <f>+'Phụ lục số 8'!D19</f>
        <v>1229</v>
      </c>
      <c r="E20" s="5388">
        <f>+'Phụ lục số 8'!E19</f>
        <v>722</v>
      </c>
      <c r="F20" s="5388">
        <f>+'Phụ lục số 8'!F19</f>
        <v>964</v>
      </c>
      <c r="G20" s="5388">
        <f>+'Phụ lục số 8'!G19</f>
        <v>964</v>
      </c>
      <c r="H20" s="5388">
        <f>+'Phụ lục số 8'!H19</f>
        <v>1227</v>
      </c>
      <c r="I20" s="5388">
        <f>+'Phụ lục số 8'!I19</f>
        <v>1094</v>
      </c>
      <c r="J20" s="5388">
        <f>+'Phụ lục số 8'!J19</f>
        <v>1123</v>
      </c>
      <c r="K20" s="5388">
        <f>+'Phụ lục số 8'!K19</f>
        <v>1123</v>
      </c>
      <c r="L20" s="5388">
        <f>+'Phụ lục số 8'!L19</f>
        <v>859</v>
      </c>
      <c r="M20" s="5388">
        <f>+'Phụ lục số 8'!M19</f>
        <v>857</v>
      </c>
      <c r="N20" s="5388">
        <f>+'Phụ lục số 8'!N19</f>
        <v>605</v>
      </c>
      <c r="O20" s="5389">
        <f>+'Phụ lục số 8'!O19</f>
        <v>859</v>
      </c>
    </row>
    <row r="21" spans="1:15" s="2734" customFormat="1" ht="54">
      <c r="A21" s="5385" t="s">
        <v>29</v>
      </c>
      <c r="B21" s="2780" t="str">
        <f>+'Phụ lục số 8'!B20</f>
        <v>Chi từ nguồn ngân sách trung ương bổ sung có mục tiêu (kinh phí hỗ trợ địa phương sản xuất lúa năm 2025)</v>
      </c>
      <c r="C21" s="5388">
        <f>SUM(D21:O21)</f>
        <v>84549</v>
      </c>
      <c r="D21" s="5388">
        <f>+'Phụ lục số 8'!D20</f>
        <v>4750</v>
      </c>
      <c r="E21" s="5388">
        <f>+'Phụ lục số 8'!E20</f>
        <v>3750</v>
      </c>
      <c r="F21" s="5388">
        <f>+'Phụ lục số 8'!F20</f>
        <v>9000</v>
      </c>
      <c r="G21" s="5388">
        <f>+'Phụ lục số 8'!G20</f>
        <v>13500</v>
      </c>
      <c r="H21" s="5388">
        <f>+'Phụ lục số 8'!H20</f>
        <v>9549</v>
      </c>
      <c r="I21" s="5388">
        <f>+'Phụ lục số 8'!I20</f>
        <v>1500</v>
      </c>
      <c r="J21" s="5388">
        <f>+'Phụ lục số 8'!J20</f>
        <v>13000</v>
      </c>
      <c r="K21" s="5388">
        <f>+'Phụ lục số 8'!K20</f>
        <v>16500</v>
      </c>
      <c r="L21" s="5388">
        <f>+'Phụ lục số 8'!L20</f>
        <v>3500</v>
      </c>
      <c r="M21" s="5388">
        <f>+'Phụ lục số 8'!M20</f>
        <v>3500</v>
      </c>
      <c r="N21" s="5388">
        <f>+'Phụ lục số 8'!N20</f>
        <v>750</v>
      </c>
      <c r="O21" s="5389">
        <f>+'Phụ lục số 8'!O20</f>
        <v>5250</v>
      </c>
    </row>
    <row r="22" spans="1:15" s="2734" customFormat="1" ht="54.6" thickBot="1">
      <c r="A22" s="5390"/>
      <c r="B22" s="5434" t="s">
        <v>3243</v>
      </c>
      <c r="C22" s="5391">
        <f>SUM(D22:O22)</f>
        <v>158210</v>
      </c>
      <c r="D22" s="5391">
        <f>+'Phụ lục số 8'!D21</f>
        <v>13323.758032636268</v>
      </c>
      <c r="E22" s="5391">
        <f>+'Phụ lục số 8'!E21</f>
        <v>7377.52897740754</v>
      </c>
      <c r="F22" s="5391">
        <f>+'Phụ lục số 8'!F21</f>
        <v>10435.725794633185</v>
      </c>
      <c r="G22" s="5391">
        <f>+'Phụ lục số 8'!G21</f>
        <v>5301.3408371845935</v>
      </c>
      <c r="H22" s="5391">
        <f>+'Phụ lục số 8'!H21</f>
        <v>10848.418889482789</v>
      </c>
      <c r="I22" s="5391">
        <f>+'Phụ lục số 8'!I21</f>
        <v>14487.235054122637</v>
      </c>
      <c r="J22" s="5391">
        <f>+'Phụ lục số 8'!J21</f>
        <v>24195.724636092982</v>
      </c>
      <c r="K22" s="5391">
        <f>+'Phụ lục số 8'!K21</f>
        <v>11303.010526687096</v>
      </c>
      <c r="L22" s="5391">
        <f>+'Phụ lục số 8'!L21</f>
        <v>23248.515685107792</v>
      </c>
      <c r="M22" s="5391">
        <f>+'Phụ lục số 8'!M21</f>
        <v>14099.517199497026</v>
      </c>
      <c r="N22" s="5391">
        <f>+'Phụ lục số 8'!N21</f>
        <v>9709.1192461169012</v>
      </c>
      <c r="O22" s="5392">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154" t="str">
        <f>'[4]1d-R'!A1</f>
        <v>ỦY BAN NHÂN DÂN TỈNH ĐỒNG THÁP</v>
      </c>
      <c r="B1" s="6154"/>
      <c r="H1" s="1279"/>
      <c r="M1" s="6150"/>
      <c r="N1" s="6150"/>
      <c r="O1" s="1278"/>
      <c r="P1" s="1302"/>
    </row>
    <row r="2" spans="1:18">
      <c r="A2" s="6148" t="s">
        <v>1304</v>
      </c>
      <c r="B2" s="6148"/>
      <c r="C2" s="6148"/>
      <c r="D2" s="6148"/>
      <c r="E2" s="6148"/>
      <c r="F2" s="6148"/>
      <c r="G2" s="6148"/>
      <c r="H2" s="6148"/>
      <c r="I2" s="6148"/>
      <c r="J2" s="6148"/>
      <c r="K2" s="6148"/>
      <c r="L2" s="6148"/>
      <c r="M2" s="6148"/>
      <c r="N2" s="6148"/>
      <c r="O2" s="1431"/>
      <c r="P2" s="1432"/>
    </row>
    <row r="3" spans="1:18">
      <c r="A3" s="6148"/>
      <c r="B3" s="6148"/>
      <c r="C3" s="6148"/>
      <c r="D3" s="6148"/>
      <c r="E3" s="6148"/>
      <c r="F3" s="6148"/>
      <c r="G3" s="6148"/>
      <c r="H3" s="6148"/>
      <c r="I3" s="6148"/>
      <c r="J3" s="6148"/>
      <c r="K3" s="6148"/>
      <c r="L3" s="6148"/>
      <c r="M3" s="6148"/>
      <c r="N3" s="6148"/>
      <c r="O3" s="1431"/>
      <c r="P3" s="1432"/>
    </row>
    <row r="4" spans="1:18">
      <c r="A4" s="1273"/>
      <c r="B4" s="1273"/>
      <c r="C4" s="1273"/>
      <c r="D4" s="1273"/>
      <c r="E4" s="1273"/>
      <c r="F4" s="1273"/>
      <c r="G4" s="1273"/>
      <c r="H4" s="1273"/>
      <c r="I4" s="1273"/>
      <c r="J4" s="1273"/>
      <c r="K4" s="1273"/>
      <c r="L4" s="1273"/>
      <c r="M4" s="6155" t="s">
        <v>1121</v>
      </c>
      <c r="N4" s="6155"/>
      <c r="O4" s="1431"/>
      <c r="P4" s="1432"/>
    </row>
    <row r="5" spans="1:18">
      <c r="A5" s="6075" t="s">
        <v>247</v>
      </c>
      <c r="B5" s="6147" t="s">
        <v>1305</v>
      </c>
      <c r="C5" s="6156" t="s">
        <v>985</v>
      </c>
      <c r="D5" s="6156"/>
      <c r="E5" s="6156"/>
      <c r="F5" s="6156"/>
      <c r="G5" s="6156"/>
      <c r="H5" s="6156"/>
      <c r="I5" s="6157" t="s">
        <v>1122</v>
      </c>
      <c r="J5" s="6157"/>
      <c r="K5" s="6157"/>
      <c r="L5" s="6157"/>
      <c r="M5" s="6157"/>
      <c r="N5" s="6157"/>
      <c r="O5" s="1433"/>
      <c r="P5" s="1434"/>
    </row>
    <row r="6" spans="1:18" ht="16.5" customHeight="1">
      <c r="A6" s="6075"/>
      <c r="B6" s="6147"/>
      <c r="C6" s="6134" t="s">
        <v>1306</v>
      </c>
      <c r="D6" s="6134"/>
      <c r="E6" s="6134" t="s">
        <v>1307</v>
      </c>
      <c r="F6" s="6134"/>
      <c r="G6" s="6147" t="s">
        <v>996</v>
      </c>
      <c r="H6" s="6147" t="s">
        <v>1125</v>
      </c>
      <c r="I6" s="6134" t="s">
        <v>1308</v>
      </c>
      <c r="J6" s="6134"/>
      <c r="K6" s="6134" t="s">
        <v>1309</v>
      </c>
      <c r="L6" s="6134"/>
      <c r="M6" s="6147" t="s">
        <v>1165</v>
      </c>
      <c r="N6" s="6147" t="s">
        <v>1125</v>
      </c>
      <c r="O6" s="1433"/>
      <c r="P6" s="1434"/>
    </row>
    <row r="7" spans="1:18">
      <c r="A7" s="6075"/>
      <c r="B7" s="6147"/>
      <c r="C7" s="6134"/>
      <c r="D7" s="6134"/>
      <c r="E7" s="6134"/>
      <c r="F7" s="6134"/>
      <c r="G7" s="6147"/>
      <c r="H7" s="6147"/>
      <c r="I7" s="6134"/>
      <c r="J7" s="6134"/>
      <c r="K7" s="6134"/>
      <c r="L7" s="6134"/>
      <c r="M7" s="6147"/>
      <c r="N7" s="6147"/>
      <c r="O7" s="1433"/>
      <c r="P7" s="1434"/>
    </row>
    <row r="8" spans="1:18">
      <c r="A8" s="6075"/>
      <c r="B8" s="6147"/>
      <c r="C8" s="6153" t="s">
        <v>1310</v>
      </c>
      <c r="D8" s="6147" t="s">
        <v>1311</v>
      </c>
      <c r="E8" s="6153" t="s">
        <v>1310</v>
      </c>
      <c r="F8" s="6147" t="s">
        <v>1311</v>
      </c>
      <c r="G8" s="6147"/>
      <c r="H8" s="6147"/>
      <c r="I8" s="6153" t="s">
        <v>1310</v>
      </c>
      <c r="J8" s="6147" t="s">
        <v>1311</v>
      </c>
      <c r="K8" s="6153" t="s">
        <v>1310</v>
      </c>
      <c r="L8" s="6147" t="s">
        <v>1311</v>
      </c>
      <c r="M8" s="6147"/>
      <c r="N8" s="6147"/>
      <c r="O8" s="1431"/>
      <c r="P8" s="1432"/>
    </row>
    <row r="9" spans="1:18">
      <c r="A9" s="6075"/>
      <c r="B9" s="6147"/>
      <c r="C9" s="6153"/>
      <c r="D9" s="6147"/>
      <c r="E9" s="6153"/>
      <c r="F9" s="6147"/>
      <c r="G9" s="6147"/>
      <c r="H9" s="6147"/>
      <c r="I9" s="6153"/>
      <c r="J9" s="6147"/>
      <c r="K9" s="6153"/>
      <c r="L9" s="6147"/>
      <c r="M9" s="6147"/>
      <c r="N9" s="6147"/>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148" t="s">
        <v>1338</v>
      </c>
      <c r="B33" s="6150"/>
      <c r="C33" s="6148" t="s">
        <v>1339</v>
      </c>
      <c r="D33" s="6148"/>
      <c r="E33" s="1432"/>
      <c r="F33" s="1432"/>
      <c r="G33" s="6148" t="s">
        <v>1340</v>
      </c>
      <c r="H33" s="6148"/>
      <c r="I33" s="6148" t="s">
        <v>1339</v>
      </c>
      <c r="J33" s="6148"/>
      <c r="K33" s="1432"/>
      <c r="L33" s="1432"/>
      <c r="M33" s="6148" t="s">
        <v>1340</v>
      </c>
      <c r="N33" s="6148"/>
      <c r="O33" s="1451"/>
      <c r="P33" s="1432"/>
    </row>
    <row r="34" spans="1:16" s="1232" customFormat="1" hidden="1">
      <c r="A34" s="6150"/>
      <c r="B34" s="6150"/>
      <c r="C34" s="6150"/>
      <c r="D34" s="6150"/>
      <c r="E34" s="6150"/>
      <c r="F34" s="6150"/>
      <c r="G34" s="6150"/>
      <c r="H34" s="6150"/>
      <c r="I34" s="6150"/>
      <c r="J34" s="6150"/>
      <c r="K34" s="6150"/>
      <c r="L34" s="6150"/>
      <c r="M34" s="6150"/>
      <c r="N34" s="6150"/>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150"/>
      <c r="B37" s="6150"/>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152"/>
      <c r="H39" s="6152"/>
      <c r="M39" s="6152"/>
      <c r="N39" s="6152"/>
      <c r="O39" s="1480"/>
    </row>
    <row r="40" spans="1:16" hidden="1">
      <c r="G40" s="6150"/>
      <c r="H40" s="6150"/>
      <c r="M40" s="6150"/>
      <c r="N40" s="6150"/>
      <c r="O40" s="1278"/>
    </row>
    <row r="41" spans="1:16" hidden="1">
      <c r="G41" s="6150"/>
      <c r="H41" s="6150"/>
      <c r="M41" s="6150"/>
      <c r="N41" s="6150"/>
      <c r="O41" s="1278"/>
    </row>
    <row r="42" spans="1:16" hidden="1"/>
    <row r="43" spans="1:16" hidden="1">
      <c r="A43" s="1315"/>
      <c r="B43" s="6151" t="s">
        <v>1341</v>
      </c>
      <c r="C43" s="6151"/>
      <c r="D43" s="6151"/>
      <c r="E43" s="6151"/>
      <c r="F43" s="6151"/>
      <c r="G43" s="6151"/>
      <c r="H43" s="6151"/>
      <c r="I43" s="6151"/>
      <c r="J43" s="6151"/>
      <c r="K43" s="1481"/>
      <c r="L43" s="1481"/>
      <c r="M43" s="6150" t="s">
        <v>1342</v>
      </c>
      <c r="N43" s="6150"/>
      <c r="O43" s="1482"/>
    </row>
    <row r="44" spans="1:16" hidden="1">
      <c r="B44" s="6149" t="s">
        <v>1343</v>
      </c>
      <c r="C44" s="6149"/>
      <c r="D44" s="6149"/>
      <c r="E44" s="6149"/>
      <c r="F44" s="6149"/>
      <c r="G44" s="6149"/>
      <c r="H44" s="6149"/>
      <c r="I44" s="6149"/>
      <c r="J44" s="6149"/>
      <c r="K44" s="1483"/>
      <c r="L44" s="1483"/>
      <c r="M44" s="6150" t="s">
        <v>1344</v>
      </c>
      <c r="N44" s="6150"/>
      <c r="O44" s="1278"/>
    </row>
    <row r="45" spans="1:16" hidden="1">
      <c r="G45" s="6150" t="s">
        <v>1345</v>
      </c>
      <c r="H45" s="6150"/>
      <c r="M45" s="6150" t="s">
        <v>1345</v>
      </c>
      <c r="N45" s="6150"/>
      <c r="O45" s="1278"/>
    </row>
    <row r="46" spans="1:16" hidden="1"/>
    <row r="47" spans="1:16" hidden="1"/>
    <row r="48" spans="1:16" hidden="1">
      <c r="C48" s="6150"/>
      <c r="D48" s="6150"/>
      <c r="E48" s="1279"/>
      <c r="F48" s="1279"/>
      <c r="G48" s="6150" t="s">
        <v>1346</v>
      </c>
      <c r="H48" s="6150"/>
      <c r="I48" s="6150"/>
      <c r="J48" s="6150"/>
      <c r="K48" s="1279"/>
      <c r="L48" s="1279"/>
      <c r="M48" s="6150" t="s">
        <v>1346</v>
      </c>
      <c r="N48" s="6150"/>
      <c r="O48" s="1278"/>
    </row>
    <row r="49" spans="1:14" hidden="1">
      <c r="A49" s="1279" t="s">
        <v>1112</v>
      </c>
      <c r="B49" s="1232" t="s">
        <v>1347</v>
      </c>
    </row>
    <row r="50" spans="1:14">
      <c r="E50" s="6130"/>
      <c r="F50" s="6130"/>
      <c r="G50" s="6130"/>
      <c r="H50" s="6130"/>
      <c r="K50" s="6130"/>
      <c r="L50" s="6130"/>
      <c r="M50" s="6130"/>
      <c r="N50" s="6130"/>
    </row>
    <row r="51" spans="1:14">
      <c r="E51" s="6123"/>
      <c r="F51" s="6123"/>
      <c r="G51" s="6123"/>
      <c r="H51" s="6123"/>
      <c r="K51" s="6123"/>
      <c r="L51" s="6123"/>
      <c r="M51" s="6123"/>
      <c r="N51" s="6123"/>
    </row>
    <row r="52" spans="1:14">
      <c r="E52" s="6123"/>
      <c r="F52" s="6123"/>
      <c r="G52" s="6123"/>
      <c r="H52" s="6123"/>
      <c r="K52" s="6123"/>
      <c r="L52" s="6123"/>
      <c r="M52" s="6123"/>
      <c r="N52" s="6123"/>
    </row>
    <row r="53" spans="1:14">
      <c r="E53" s="6129"/>
      <c r="F53" s="6129"/>
      <c r="G53" s="6129"/>
      <c r="H53" s="6129"/>
      <c r="K53" s="6129"/>
      <c r="L53" s="6129"/>
      <c r="M53" s="6129"/>
      <c r="N53" s="6129"/>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2" t="s">
        <v>3164</v>
      </c>
      <c r="B1" s="6292"/>
      <c r="C1" s="6292"/>
      <c r="D1" s="6292"/>
      <c r="E1" s="6292"/>
      <c r="F1" s="6292"/>
      <c r="G1" s="6292"/>
      <c r="H1" s="6292"/>
      <c r="I1" s="6292"/>
      <c r="J1" s="6292"/>
      <c r="K1" s="6292"/>
      <c r="L1" s="6292"/>
      <c r="M1" s="6292"/>
      <c r="N1" s="6292"/>
      <c r="O1" s="6292"/>
      <c r="P1" s="6292"/>
      <c r="Q1" s="6292"/>
      <c r="R1" s="6292"/>
      <c r="S1" s="6292"/>
      <c r="T1" s="6292"/>
      <c r="U1" s="6292"/>
      <c r="V1" s="6292"/>
    </row>
    <row r="2" spans="1:22">
      <c r="A2" s="6510" t="str">
        <f>+'Phụ lục 8-HĐND'!A2:O2</f>
        <v>(Kèm theo Nghị quyết số         /NQ-HĐND ngày     /12/2024 của Hội đồng nhân dân Tỉnh)</v>
      </c>
      <c r="B2" s="6510"/>
      <c r="C2" s="6510"/>
      <c r="D2" s="6510"/>
      <c r="E2" s="6510"/>
      <c r="F2" s="6510"/>
      <c r="G2" s="6510"/>
      <c r="H2" s="6510"/>
      <c r="I2" s="6510"/>
      <c r="J2" s="6510"/>
      <c r="K2" s="6510"/>
      <c r="L2" s="6510"/>
      <c r="M2" s="6510"/>
      <c r="N2" s="6510"/>
      <c r="O2" s="6510"/>
      <c r="P2" s="6510"/>
      <c r="Q2" s="6510"/>
      <c r="R2" s="6510"/>
      <c r="S2" s="6510"/>
      <c r="T2" s="6510"/>
      <c r="U2" s="6510"/>
      <c r="V2" s="6510"/>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08" t="s">
        <v>638</v>
      </c>
      <c r="T4" s="6508"/>
      <c r="U4" s="6508"/>
      <c r="V4" s="6508"/>
    </row>
    <row r="5" spans="1:22" s="49" customFormat="1" thickTop="1">
      <c r="A5" s="6569" t="s">
        <v>247</v>
      </c>
      <c r="B5" s="6571" t="s">
        <v>1526</v>
      </c>
      <c r="C5" s="6571" t="s">
        <v>3194</v>
      </c>
      <c r="D5" s="6571" t="s">
        <v>1527</v>
      </c>
      <c r="E5" s="6571"/>
      <c r="F5" s="6571"/>
      <c r="G5" s="6571"/>
      <c r="H5" s="6571"/>
      <c r="I5" s="6571"/>
      <c r="J5" s="6571"/>
      <c r="K5" s="6571"/>
      <c r="L5" s="6571"/>
      <c r="M5" s="6571" t="s">
        <v>3169</v>
      </c>
      <c r="N5" s="6080" t="s">
        <v>1724</v>
      </c>
      <c r="O5" s="6080"/>
      <c r="P5" s="6080"/>
      <c r="Q5" s="6080"/>
      <c r="R5" s="6080"/>
      <c r="S5" s="6080"/>
      <c r="T5" s="6080"/>
      <c r="U5" s="6080"/>
      <c r="V5" s="6081"/>
    </row>
    <row r="6" spans="1:22" s="49" customFormat="1" ht="17.399999999999999">
      <c r="A6" s="6570"/>
      <c r="B6" s="6295"/>
      <c r="C6" s="6295"/>
      <c r="D6" s="6295" t="s">
        <v>1528</v>
      </c>
      <c r="E6" s="6295" t="s">
        <v>1529</v>
      </c>
      <c r="F6" s="6295" t="s">
        <v>645</v>
      </c>
      <c r="G6" s="6295"/>
      <c r="H6" s="6295" t="s">
        <v>1530</v>
      </c>
      <c r="I6" s="6295" t="s">
        <v>645</v>
      </c>
      <c r="J6" s="6295"/>
      <c r="K6" s="6295"/>
      <c r="L6" s="6295" t="s">
        <v>1531</v>
      </c>
      <c r="M6" s="6295"/>
      <c r="N6" s="6506" t="s">
        <v>208</v>
      </c>
      <c r="O6" s="6506"/>
      <c r="P6" s="6506"/>
      <c r="Q6" s="6506" t="s">
        <v>209</v>
      </c>
      <c r="R6" s="6506"/>
      <c r="S6" s="6506"/>
      <c r="T6" s="6295" t="s">
        <v>175</v>
      </c>
      <c r="U6" s="6295" t="s">
        <v>176</v>
      </c>
      <c r="V6" s="6568" t="s">
        <v>825</v>
      </c>
    </row>
    <row r="7" spans="1:22" s="49" customFormat="1" ht="18.75" customHeight="1">
      <c r="A7" s="6570"/>
      <c r="B7" s="6295"/>
      <c r="C7" s="6295"/>
      <c r="D7" s="6295"/>
      <c r="E7" s="6295"/>
      <c r="F7" s="6295"/>
      <c r="G7" s="6295"/>
      <c r="H7" s="6295"/>
      <c r="I7" s="6046" t="s">
        <v>205</v>
      </c>
      <c r="J7" s="6046" t="s">
        <v>3163</v>
      </c>
      <c r="K7" s="6046" t="s">
        <v>3167</v>
      </c>
      <c r="L7" s="6295"/>
      <c r="M7" s="6295"/>
      <c r="N7" s="6295" t="s">
        <v>387</v>
      </c>
      <c r="O7" s="6295" t="s">
        <v>645</v>
      </c>
      <c r="P7" s="6295"/>
      <c r="Q7" s="6295" t="s">
        <v>387</v>
      </c>
      <c r="R7" s="6506" t="s">
        <v>645</v>
      </c>
      <c r="S7" s="6506"/>
      <c r="T7" s="6295"/>
      <c r="U7" s="6295"/>
      <c r="V7" s="6568"/>
    </row>
    <row r="8" spans="1:22" s="49" customFormat="1" ht="284.25" customHeight="1">
      <c r="A8" s="6570"/>
      <c r="B8" s="6295"/>
      <c r="C8" s="6295"/>
      <c r="D8" s="6295"/>
      <c r="E8" s="6295"/>
      <c r="F8" s="2247" t="s">
        <v>1533</v>
      </c>
      <c r="G8" s="2247" t="s">
        <v>1534</v>
      </c>
      <c r="H8" s="6295"/>
      <c r="I8" s="6046"/>
      <c r="J8" s="6046"/>
      <c r="K8" s="6046"/>
      <c r="L8" s="6295"/>
      <c r="M8" s="6295"/>
      <c r="N8" s="6295"/>
      <c r="O8" s="2247" t="s">
        <v>143</v>
      </c>
      <c r="P8" s="2247" t="s">
        <v>144</v>
      </c>
      <c r="Q8" s="6295"/>
      <c r="R8" s="2247" t="s">
        <v>824</v>
      </c>
      <c r="S8" s="2247" t="s">
        <v>740</v>
      </c>
      <c r="T8" s="6295"/>
      <c r="U8" s="6295"/>
      <c r="V8" s="6568"/>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082" t="s">
        <v>3172</v>
      </c>
      <c r="B1" s="6082"/>
      <c r="C1" s="6082"/>
      <c r="D1" s="6082"/>
      <c r="E1" s="6082"/>
      <c r="F1" s="6082"/>
      <c r="G1" s="6082"/>
      <c r="H1" s="6082"/>
      <c r="I1" s="6082"/>
      <c r="J1" s="6082"/>
      <c r="K1" s="6082"/>
    </row>
    <row r="2" spans="1:13">
      <c r="A2" s="6524" t="str">
        <f>+'Phụ lục 9-HĐND'!A2:V2</f>
        <v>(Kèm theo Nghị quyết số         /NQ-HĐND ngày     /12/2024 của Hội đồng nhân dân Tỉnh)</v>
      </c>
      <c r="B2" s="6260"/>
      <c r="C2" s="6260"/>
      <c r="D2" s="6260"/>
      <c r="E2" s="6260"/>
      <c r="F2" s="6260"/>
      <c r="G2" s="6260"/>
      <c r="H2" s="6260"/>
      <c r="I2" s="6260"/>
      <c r="J2" s="6260"/>
      <c r="K2" s="6260"/>
    </row>
    <row r="4" spans="1:13" ht="18.600000000000001" thickBot="1">
      <c r="J4" s="6574" t="s">
        <v>638</v>
      </c>
      <c r="K4" s="6574"/>
    </row>
    <row r="5" spans="1:13" ht="18.600000000000001" thickTop="1">
      <c r="A5" s="6563" t="s">
        <v>136</v>
      </c>
      <c r="B5" s="6571" t="s">
        <v>3137</v>
      </c>
      <c r="C5" s="6087" t="s">
        <v>54</v>
      </c>
      <c r="D5" s="6505" t="s">
        <v>186</v>
      </c>
      <c r="E5" s="6505"/>
      <c r="F5" s="6505"/>
      <c r="G5" s="6505"/>
      <c r="H5" s="6505"/>
      <c r="I5" s="6505"/>
      <c r="J5" s="6505"/>
      <c r="K5" s="6575"/>
    </row>
    <row r="6" spans="1:13" ht="305.25" customHeight="1">
      <c r="A6" s="6564"/>
      <c r="B6" s="6295"/>
      <c r="C6" s="6088"/>
      <c r="D6" s="4852" t="s">
        <v>805</v>
      </c>
      <c r="E6" s="5871" t="str">
        <f>+'Phụ lục số 10'!E6</f>
        <v>Kinh phí hỗ trợ địa phương sản xuất lúa</v>
      </c>
      <c r="F6" s="4853" t="s">
        <v>807</v>
      </c>
      <c r="G6" s="4853" t="s">
        <v>3254</v>
      </c>
      <c r="H6" s="2762" t="s">
        <v>3156</v>
      </c>
      <c r="I6" s="2762" t="s">
        <v>3155</v>
      </c>
      <c r="J6" s="5152" t="s">
        <v>3223</v>
      </c>
      <c r="K6" s="5170" t="s">
        <v>3234</v>
      </c>
    </row>
    <row r="7" spans="1:13">
      <c r="A7" s="4854">
        <v>1</v>
      </c>
      <c r="B7" s="2738">
        <v>2</v>
      </c>
      <c r="C7" s="2738" t="s">
        <v>3255</v>
      </c>
      <c r="D7" s="2738">
        <v>4</v>
      </c>
      <c r="E7" s="2738">
        <v>5</v>
      </c>
      <c r="F7" s="2738">
        <v>6</v>
      </c>
      <c r="G7" s="2738">
        <v>7</v>
      </c>
      <c r="H7" s="2738">
        <v>8</v>
      </c>
      <c r="I7" s="2738">
        <v>9</v>
      </c>
      <c r="J7" s="2738">
        <v>10</v>
      </c>
      <c r="K7" s="2739">
        <v>11</v>
      </c>
    </row>
    <row r="8" spans="1:13" ht="36" customHeight="1">
      <c r="A8" s="4855">
        <v>1</v>
      </c>
      <c r="B8" s="388" t="s">
        <v>811</v>
      </c>
      <c r="C8" s="4856">
        <f>SUM(D8:K8)</f>
        <v>59762.99</v>
      </c>
      <c r="D8" s="4856">
        <f>+'Phụ lục số 10'!D8</f>
        <v>14893.36</v>
      </c>
      <c r="E8" s="4856">
        <f>+'Phụ lục số 10'!E8</f>
        <v>15250</v>
      </c>
      <c r="F8" s="4856">
        <f>+'Phụ lục số 10'!F8</f>
        <v>24715</v>
      </c>
      <c r="G8" s="4856">
        <f>+'Phụ lục số 10'!G8</f>
        <v>1229</v>
      </c>
      <c r="H8" s="4856">
        <f>+'Phụ lục số 10'!H8</f>
        <v>986.43</v>
      </c>
      <c r="I8" s="4856">
        <f>+'Phụ lục số 10'!I8</f>
        <v>0</v>
      </c>
      <c r="J8" s="4857">
        <f>+'Phụ lục số 10'!J8</f>
        <v>0</v>
      </c>
      <c r="K8" s="5188">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58">
        <f t="shared" si="0"/>
        <v>82476.471999999994</v>
      </c>
      <c r="D19" s="4858">
        <f>+'Phụ lục số 10'!D19</f>
        <v>12728.220000000001</v>
      </c>
      <c r="E19" s="4858">
        <f>+'Phụ lục số 10'!E19</f>
        <v>16750</v>
      </c>
      <c r="F19" s="4858">
        <f>+'Phụ lục số 10'!F19</f>
        <v>25747</v>
      </c>
      <c r="G19" s="4858">
        <f>+'Phụ lục số 10'!G19</f>
        <v>859</v>
      </c>
      <c r="H19" s="4858">
        <f>+'Phụ lục số 10'!H19</f>
        <v>948.78</v>
      </c>
      <c r="I19" s="4858">
        <f>+'Phụ lục số 10'!I19</f>
        <v>22450</v>
      </c>
      <c r="J19" s="4859">
        <f>+'Phụ lục số 10'!J19</f>
        <v>0</v>
      </c>
      <c r="K19" s="5189">
        <f>+'Phụ lục số 10'!K19</f>
        <v>2993.4720000000002</v>
      </c>
    </row>
    <row r="20" spans="1:11" ht="36" customHeight="1" thickBot="1">
      <c r="A20" s="6572" t="s">
        <v>1538</v>
      </c>
      <c r="B20" s="6573"/>
      <c r="C20" s="5393">
        <f>SUM(C8:C19)</f>
        <v>965959.90700000001</v>
      </c>
      <c r="D20" s="5393">
        <f t="shared" ref="D20:H20" si="1">SUM(D8:D19)</f>
        <v>211211.59</v>
      </c>
      <c r="E20" s="5393">
        <f t="shared" si="1"/>
        <v>265647</v>
      </c>
      <c r="F20" s="5394">
        <f>SUM(F8:F19)</f>
        <v>293472.76800000004</v>
      </c>
      <c r="G20" s="5394">
        <f>SUM(G8:G19)</f>
        <v>11626</v>
      </c>
      <c r="H20" s="5394">
        <f t="shared" si="1"/>
        <v>11295</v>
      </c>
      <c r="I20" s="5393">
        <f>SUM(I8:I19)</f>
        <v>129670</v>
      </c>
      <c r="J20" s="5393">
        <f>SUM(J8:J19)</f>
        <v>852</v>
      </c>
      <c r="K20" s="5395">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283" t="s">
        <v>1807</v>
      </c>
      <c r="B1" s="6283"/>
      <c r="C1" s="6283"/>
    </row>
    <row r="2" spans="1:3">
      <c r="A2" s="6283" t="s">
        <v>3202</v>
      </c>
      <c r="B2" s="6283"/>
      <c r="C2" s="6283"/>
    </row>
    <row r="3" spans="1:3">
      <c r="A3" s="6283" t="s">
        <v>1808</v>
      </c>
      <c r="B3" s="6283"/>
      <c r="C3" s="6283"/>
    </row>
    <row r="4" spans="1:3">
      <c r="A4" s="6500" t="s">
        <v>3200</v>
      </c>
      <c r="B4" s="6500"/>
      <c r="C4" s="6500"/>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23" t="s">
        <v>3</v>
      </c>
      <c r="B8" s="694" t="s">
        <v>783</v>
      </c>
      <c r="C8" s="5024">
        <f>C10+C16+C19+C20+C21+C22+C26+C29+C32+C36</f>
        <v>4493400</v>
      </c>
    </row>
    <row r="9" spans="1:3">
      <c r="A9" s="5025"/>
      <c r="B9" s="697" t="s">
        <v>784</v>
      </c>
      <c r="C9" s="5026">
        <f>C8-C29</f>
        <v>2893400</v>
      </c>
    </row>
    <row r="10" spans="1:3">
      <c r="A10" s="5027">
        <v>1</v>
      </c>
      <c r="B10" s="701" t="s">
        <v>1477</v>
      </c>
      <c r="C10" s="5028">
        <f>SUM(C11:C15)</f>
        <v>1550000</v>
      </c>
    </row>
    <row r="11" spans="1:3">
      <c r="A11" s="5029" t="s">
        <v>29</v>
      </c>
      <c r="B11" s="704" t="s">
        <v>786</v>
      </c>
      <c r="C11" s="5032">
        <f>+'H. HỒNG NGỰ'!C11+'TP.  HỒNG NGỰ'!C11+'H. TÂN HỒNG'!C11+'H. TAM NÔNG'!C11+'H. THANH BÌNH'!C11+'TP. CAO LÃNH'!C11+'H. CAO LÃNH'!C11+'H. THÁP MƯỜI'!C11+'H. LẤP VÒ'!C11+'H. LAI VUNG'!C11+'TP. SA ĐÉC'!C11+'H. CHÂU THÀNH'!C11</f>
        <v>757000</v>
      </c>
    </row>
    <row r="12" spans="1:3">
      <c r="A12" s="5029" t="s">
        <v>29</v>
      </c>
      <c r="B12" s="704" t="s">
        <v>787</v>
      </c>
      <c r="C12" s="5032">
        <f>+'H. HỒNG NGỰ'!C12+'TP.  HỒNG NGỰ'!C12+'H. TÂN HỒNG'!C12+'H. TAM NÔNG'!C12+'H. THANH BÌNH'!C12+'TP. CAO LÃNH'!C12+'H. CAO LÃNH'!C12+'H. THÁP MƯỜI'!C12+'H. LẤP VÒ'!C12+'H. LAI VUNG'!C12+'TP. SA ĐÉC'!C12+'H. CHÂU THÀNH'!C12</f>
        <v>720000</v>
      </c>
    </row>
    <row r="13" spans="1:3">
      <c r="A13" s="5029" t="s">
        <v>29</v>
      </c>
      <c r="B13" s="704" t="s">
        <v>788</v>
      </c>
      <c r="C13" s="5032">
        <f>+'H. HỒNG NGỰ'!C13+'TP.  HỒNG NGỰ'!C13+'H. TÂN HỒNG'!C13+'H. TAM NÔNG'!C13+'H. THANH BÌNH'!C13+'TP. CAO LÃNH'!C13+'H. CAO LÃNH'!C13+'H. THÁP MƯỜI'!C13+'H. LẤP VÒ'!C13+'H. LAI VUNG'!C13+'TP. SA ĐÉC'!C13+'H. CHÂU THÀNH'!C13</f>
        <v>28650</v>
      </c>
    </row>
    <row r="14" spans="1:3">
      <c r="A14" s="5029" t="s">
        <v>29</v>
      </c>
      <c r="B14" s="704" t="s">
        <v>10</v>
      </c>
      <c r="C14" s="5032">
        <f>+'H. HỒNG NGỰ'!C14+'TP.  HỒNG NGỰ'!C14+'H. TÂN HỒNG'!C14+'H. TAM NÔNG'!C14+'H. THANH BÌNH'!C14+'TP. CAO LÃNH'!C14+'H. CAO LÃNH'!C14+'H. THÁP MƯỜI'!C14+'H. LẤP VÒ'!C14+'H. LAI VUNG'!C14+'TP. SA ĐÉC'!C14+'H. CHÂU THÀNH'!C14</f>
        <v>44350</v>
      </c>
    </row>
    <row r="15" spans="1:3">
      <c r="A15" s="5029" t="s">
        <v>29</v>
      </c>
      <c r="B15" s="704" t="s">
        <v>789</v>
      </c>
      <c r="C15" s="5032">
        <f>+'H. HỒNG NGỰ'!C15+'TP.  HỒNG NGỰ'!C15+'H. TÂN HỒNG'!C15+'H. TAM NÔNG'!C15+'H. THANH BÌNH'!C15+'TP. CAO LÃNH'!C15+'H. CAO LÃNH'!C15+'H. THÁP MƯỜI'!C15+'H. LẤP VÒ'!C15+'H. LAI VUNG'!C15+'TP. SA ĐÉC'!C15+'H. CHÂU THÀNH'!C15</f>
        <v>0</v>
      </c>
    </row>
    <row r="16" spans="1:3">
      <c r="A16" s="5027">
        <v>2</v>
      </c>
      <c r="B16" s="701" t="s">
        <v>20</v>
      </c>
      <c r="C16" s="5028">
        <f>SUM(C17:C18)</f>
        <v>353000</v>
      </c>
    </row>
    <row r="17" spans="1:5" hidden="1">
      <c r="A17" s="5031" t="s">
        <v>29</v>
      </c>
      <c r="B17" s="43" t="s">
        <v>790</v>
      </c>
      <c r="C17" s="5032">
        <f>+'H. HỒNG NGỰ'!C17+'TP.  HỒNG NGỰ'!C17+'H. TÂN HỒNG'!C17+'H. TAM NÔNG'!C17+'H. THANH BÌNH'!C17+'TP. CAO LÃNH'!C17+'H. CAO LÃNH'!C17+'H. THÁP MƯỜI'!C17+'H. LẤP VÒ'!C17+'H. LAI VUNG'!C17+'TP. SA ĐÉC'!C17+'H. CHÂU THÀNH'!C17</f>
        <v>0</v>
      </c>
    </row>
    <row r="18" spans="1:5" hidden="1">
      <c r="A18" s="5033" t="s">
        <v>29</v>
      </c>
      <c r="B18" s="711" t="s">
        <v>791</v>
      </c>
      <c r="C18" s="5032">
        <f>+'H. HỒNG NGỰ'!C18+'TP.  HỒNG NGỰ'!C18+'H. TÂN HỒNG'!C18+'H. TAM NÔNG'!C18+'H. THANH BÌNH'!C18+'TP. CAO LÃNH'!C18+'H. CAO LÃNH'!C18+'H. THÁP MƯỜI'!C18+'H. LẤP VÒ'!C18+'H. LAI VUNG'!C18+'TP. SA ĐÉC'!C18+'H. CHÂU THÀNH'!C18</f>
        <v>353000</v>
      </c>
    </row>
    <row r="19" spans="1:5" s="588" customFormat="1" ht="17.399999999999999">
      <c r="A19" s="5027">
        <v>3</v>
      </c>
      <c r="B19" s="701" t="s">
        <v>17</v>
      </c>
      <c r="C19" s="5028">
        <f>+'H. HỒNG NGỰ'!C19+'TP.  HỒNG NGỰ'!C19+'H. TÂN HỒNG'!C19+'H. TAM NÔNG'!C19+'H. THANH BÌNH'!C19+'TP. CAO LÃNH'!C19+'H. CAO LÃNH'!C19+'H. THÁP MƯỜI'!C19+'H. LẤP VÒ'!C19+'H. LAI VUNG'!C19+'TP. SA ĐÉC'!C19+'H. CHÂU THÀNH'!C19</f>
        <v>330000</v>
      </c>
    </row>
    <row r="20" spans="1:5" s="588" customFormat="1" ht="17.399999999999999">
      <c r="A20" s="5027">
        <v>4</v>
      </c>
      <c r="B20" s="701" t="s">
        <v>792</v>
      </c>
      <c r="C20" s="5028">
        <f>+'H. HỒNG NGỰ'!C20+'TP.  HỒNG NGỰ'!C20+'H. TÂN HỒNG'!C20+'H. TAM NÔNG'!C20+'H. THANH BÌNH'!C20+'TP. CAO LÃNH'!C20+'H. CAO LÃNH'!C20+'H. THÁP MƯỜI'!C20+'H. LẤP VÒ'!C20+'H. LAI VUNG'!C20+'TP. SA ĐÉC'!C20+'H. CHÂU THÀNH'!C20</f>
        <v>0</v>
      </c>
    </row>
    <row r="21" spans="1:5" s="588" customFormat="1" ht="17.399999999999999">
      <c r="A21" s="5027">
        <v>4</v>
      </c>
      <c r="B21" s="701" t="s">
        <v>97</v>
      </c>
      <c r="C21" s="5028">
        <f>+'H. HỒNG NGỰ'!C21+'TP.  HỒNG NGỰ'!C21+'H. TÂN HỒNG'!C21+'H. TAM NÔNG'!C21+'H. THANH BÌNH'!C21+'TP. CAO LÃNH'!C21+'H. CAO LÃNH'!C21+'H. THÁP MƯỜI'!C21+'H. LẤP VÒ'!C21+'H. LAI VUNG'!C21+'TP. SA ĐÉC'!C21+'H. CHÂU THÀNH'!C21</f>
        <v>17000</v>
      </c>
    </row>
    <row r="22" spans="1:5">
      <c r="A22" s="5027">
        <v>5</v>
      </c>
      <c r="B22" s="701" t="s">
        <v>793</v>
      </c>
      <c r="C22" s="5028">
        <f>SUM(C23:C25)</f>
        <v>110400</v>
      </c>
    </row>
    <row r="23" spans="1:5">
      <c r="A23" s="5034" t="s">
        <v>29</v>
      </c>
      <c r="B23" s="43" t="s">
        <v>794</v>
      </c>
      <c r="C23" s="5032">
        <f>+'H. HỒNG NGỰ'!C23+'TP.  HỒNG NGỰ'!C23+'H. TÂN HỒNG'!C23+'H. TAM NÔNG'!C23+'H. THANH BÌNH'!C23+'TP. CAO LÃNH'!C23+'H. CAO LÃNH'!C23+'H. THÁP MƯỜI'!C23+'H. LẤP VÒ'!C23+'H. LAI VUNG'!C23+'TP. SA ĐÉC'!C23+'H. CHÂU THÀNH'!C23</f>
        <v>34800</v>
      </c>
    </row>
    <row r="24" spans="1:5">
      <c r="A24" s="5034" t="s">
        <v>29</v>
      </c>
      <c r="B24" s="43" t="s">
        <v>795</v>
      </c>
      <c r="C24" s="5032">
        <f>+'H. HỒNG NGỰ'!C24+'TP.  HỒNG NGỰ'!C24+'H. TÂN HỒNG'!C24+'H. TAM NÔNG'!C24+'H. THANH BÌNH'!C24+'TP. CAO LÃNH'!C24+'H. CAO LÃNH'!C24+'H. THÁP MƯỜI'!C24+'H. LẤP VÒ'!C24+'H. LAI VUNG'!C24+'TP. SA ĐÉC'!C24+'H. CHÂU THÀNH'!C24</f>
        <v>3200</v>
      </c>
    </row>
    <row r="25" spans="1:5">
      <c r="A25" s="5034" t="s">
        <v>29</v>
      </c>
      <c r="B25" s="43" t="s">
        <v>796</v>
      </c>
      <c r="C25" s="5032">
        <f>+'H. HỒNG NGỰ'!C25+'TP.  HỒNG NGỰ'!C25+'H. TÂN HỒNG'!C25+'H. TAM NÔNG'!C25+'H. THANH BÌNH'!C25+'TP. CAO LÃNH'!C25+'H. CAO LÃNH'!C25+'H. THÁP MƯỜI'!C25+'H. LẤP VÒ'!C25+'H. LAI VUNG'!C25+'TP. SA ĐÉC'!C25+'H. CHÂU THÀNH'!C25</f>
        <v>72400</v>
      </c>
    </row>
    <row r="26" spans="1:5">
      <c r="A26" s="5027">
        <v>6</v>
      </c>
      <c r="B26" s="701" t="s">
        <v>24</v>
      </c>
      <c r="C26" s="5028">
        <f>SUM(C27:C28)</f>
        <v>201000</v>
      </c>
    </row>
    <row r="27" spans="1:5">
      <c r="A27" s="5034" t="s">
        <v>29</v>
      </c>
      <c r="B27" s="43" t="s">
        <v>790</v>
      </c>
      <c r="C27" s="5032">
        <f>+'H. HỒNG NGỰ'!C27+'TP.  HỒNG NGỰ'!C27+'H. TÂN HỒNG'!C27+'H. TAM NÔNG'!C27+'H. THANH BÌNH'!C27+'TP. CAO LÃNH'!C27+'H. CAO LÃNH'!C27+'H. THÁP MƯỜI'!C27+'H. LẤP VÒ'!C27+'H. LAI VUNG'!C27+'TP. SA ĐÉC'!C27+'H. CHÂU THÀNH'!C27</f>
        <v>0</v>
      </c>
    </row>
    <row r="28" spans="1:5">
      <c r="A28" s="5035" t="s">
        <v>29</v>
      </c>
      <c r="B28" s="711" t="s">
        <v>1809</v>
      </c>
      <c r="C28" s="5032">
        <f>+'H. HỒNG NGỰ'!C28+'TP.  HỒNG NGỰ'!C28+'H. TÂN HỒNG'!C28+'H. TAM NÔNG'!C28+'H. THANH BÌNH'!C28+'TP. CAO LÃNH'!C28+'H. CAO LÃNH'!C28+'H. THÁP MƯỜI'!C28+'H. LẤP VÒ'!C28+'H. LAI VUNG'!C28+'TP. SA ĐÉC'!C28+'H. CHÂU THÀNH'!C28</f>
        <v>201000</v>
      </c>
    </row>
    <row r="29" spans="1:5">
      <c r="A29" s="5027">
        <v>7</v>
      </c>
      <c r="B29" s="701" t="s">
        <v>242</v>
      </c>
      <c r="C29" s="5028">
        <f>SUM(C30:C31)</f>
        <v>1600000</v>
      </c>
    </row>
    <row r="30" spans="1:5">
      <c r="A30" s="5034" t="s">
        <v>29</v>
      </c>
      <c r="B30" s="43" t="s">
        <v>790</v>
      </c>
      <c r="C30" s="5032">
        <f>+'H. HỒNG NGỰ'!C30+'TP.  HỒNG NGỰ'!C30+'H. TÂN HỒNG'!C30+'H. TAM NÔNG'!C30+'H. THANH BÌNH'!C30+'TP. CAO LÃNH'!C30+'H. CAO LÃNH'!C30+'H. THÁP MƯỜI'!C30+'H. LẤP VÒ'!C30+'H. LAI VUNG'!C30+'TP. SA ĐÉC'!C30+'H. CHÂU THÀNH'!C30</f>
        <v>385000</v>
      </c>
    </row>
    <row r="31" spans="1:5">
      <c r="A31" s="5035" t="s">
        <v>29</v>
      </c>
      <c r="B31" s="711" t="s">
        <v>1810</v>
      </c>
      <c r="C31" s="5032">
        <f>+'H. HỒNG NGỰ'!C31+'TP.  HỒNG NGỰ'!C31+'H. TÂN HỒNG'!C31+'H. TAM NÔNG'!C31+'H. THANH BÌNH'!C31+'TP. CAO LÃNH'!C31+'H. CAO LÃNH'!C31+'H. THÁP MƯỜI'!C31+'H. LẤP VÒ'!C31+'H. LAI VUNG'!C31+'TP. SA ĐÉC'!C31+'H. CHÂU THÀNH'!C31</f>
        <v>1215000</v>
      </c>
      <c r="E31" s="381">
        <f>C31*90%</f>
        <v>1093500</v>
      </c>
    </row>
    <row r="32" spans="1:5">
      <c r="A32" s="5027">
        <v>8</v>
      </c>
      <c r="B32" s="701" t="s">
        <v>798</v>
      </c>
      <c r="C32" s="5028">
        <f>SUM(C33:C35)</f>
        <v>330000</v>
      </c>
    </row>
    <row r="33" spans="1:8" ht="19.2" customHeight="1">
      <c r="A33" s="5034" t="s">
        <v>29</v>
      </c>
      <c r="B33" s="43" t="s">
        <v>799</v>
      </c>
      <c r="C33" s="5032">
        <f>+'H. HỒNG NGỰ'!C33+'TP.  HỒNG NGỰ'!C33+'H. TÂN HỒNG'!C33+'H. TAM NÔNG'!C33+'H. THANH BÌNH'!C33+'TP. CAO LÃNH'!C33+'H. CAO LÃNH'!C33+'H. THÁP MƯỜI'!C33+'H. LẤP VÒ'!C33+'H. LAI VUNG'!C33+'TP. SA ĐÉC'!C33+'H. CHÂU THÀNH'!C33</f>
        <v>89000</v>
      </c>
    </row>
    <row r="34" spans="1:8" ht="19.2" customHeight="1">
      <c r="A34" s="5034" t="s">
        <v>29</v>
      </c>
      <c r="B34" s="43" t="s">
        <v>800</v>
      </c>
      <c r="C34" s="5032">
        <f>+'H. HỒNG NGỰ'!C34+'TP.  HỒNG NGỰ'!C34+'H. TÂN HỒNG'!C34+'H. TAM NÔNG'!C34+'H. THANH BÌNH'!C34+'TP. CAO LÃNH'!C34+'H. CAO LÃNH'!C34+'H. THÁP MƯỜI'!C34+'H. LẤP VÒ'!C34+'H. LAI VUNG'!C34+'TP. SA ĐÉC'!C34+'H. CHÂU THÀNH'!C34</f>
        <v>34500</v>
      </c>
    </row>
    <row r="35" spans="1:8" ht="19.2" customHeight="1">
      <c r="A35" s="5034" t="s">
        <v>29</v>
      </c>
      <c r="B35" s="43" t="s">
        <v>801</v>
      </c>
      <c r="C35" s="5032">
        <f>+'H. HỒNG NGỰ'!C35+'TP.  HỒNG NGỰ'!C35+'H. TÂN HỒNG'!C35+'H. TAM NÔNG'!C35+'H. THANH BÌNH'!C35+'TP. CAO LÃNH'!C35+'H. CAO LÃNH'!C35+'H. THÁP MƯỜI'!C35+'H. LẤP VÒ'!C35+'H. LAI VUNG'!C35+'TP. SA ĐÉC'!C35+'H. CHÂU THÀNH'!C35</f>
        <v>206500</v>
      </c>
    </row>
    <row r="36" spans="1:8" ht="19.2" customHeight="1">
      <c r="A36" s="5027">
        <v>9</v>
      </c>
      <c r="B36" s="5036" t="s">
        <v>1811</v>
      </c>
      <c r="C36" s="5054">
        <f>+'H. HỒNG NGỰ'!C36+'TP.  HỒNG NGỰ'!C36+'H. TÂN HỒNG'!C36+'H. TAM NÔNG'!C36+'H. THANH BÌNH'!C36+'TP. CAO LÃNH'!C36+'H. CAO LÃNH'!C36+'H. THÁP MƯỜI'!C36+'H. LẤP VÒ'!C36+'H. LAI VUNG'!C36+'TP. SA ĐÉC'!C36+'H. CHÂU THÀNH'!C36</f>
        <v>2000</v>
      </c>
    </row>
    <row r="37" spans="1:8" ht="19.2" customHeight="1">
      <c r="A37" s="5027" t="s">
        <v>33</v>
      </c>
      <c r="B37" s="701" t="s">
        <v>1812</v>
      </c>
      <c r="C37" s="5037"/>
    </row>
    <row r="38" spans="1:8" ht="19.2" customHeight="1">
      <c r="A38" s="5027"/>
      <c r="B38" s="704" t="s">
        <v>1813</v>
      </c>
      <c r="C38" s="5038">
        <v>1</v>
      </c>
    </row>
    <row r="39" spans="1:8" s="596" customFormat="1" ht="19.2" customHeight="1">
      <c r="A39" s="4971" t="s">
        <v>182</v>
      </c>
      <c r="B39" s="4972" t="s">
        <v>802</v>
      </c>
      <c r="C39" s="613">
        <f>SUM(C40:C42)</f>
        <v>7078351.9069999997</v>
      </c>
      <c r="F39" s="602"/>
      <c r="G39" s="602"/>
      <c r="H39" s="602"/>
    </row>
    <row r="40" spans="1:8" s="596" customFormat="1" ht="19.2" customHeight="1">
      <c r="A40" s="1926">
        <v>1</v>
      </c>
      <c r="B40" s="4968" t="s">
        <v>803</v>
      </c>
      <c r="C40" s="5032">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3136</v>
      </c>
      <c r="C41" s="5032">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68" t="s">
        <v>3206</v>
      </c>
      <c r="C42" s="5032">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39" t="s">
        <v>215</v>
      </c>
      <c r="B43" s="5042" t="s">
        <v>1721</v>
      </c>
      <c r="C43" s="5060">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746" t="s">
        <v>1717</v>
      </c>
      <c r="B46" s="6746"/>
      <c r="C46" s="6746"/>
    </row>
    <row r="47" spans="1:8" s="47" customFormat="1" ht="39.9" customHeight="1">
      <c r="A47" s="6745" t="s">
        <v>3204</v>
      </c>
      <c r="B47" s="6745"/>
      <c r="C47" s="6745"/>
    </row>
    <row r="48" spans="1:8" s="47" customFormat="1" ht="105" customHeight="1">
      <c r="A48" s="6745" t="s">
        <v>1814</v>
      </c>
      <c r="B48" s="6745"/>
      <c r="C48" s="6745"/>
    </row>
    <row r="49" spans="1:3" s="47" customFormat="1">
      <c r="A49" s="6745" t="s">
        <v>1815</v>
      </c>
      <c r="B49" s="6745"/>
      <c r="C49" s="6745"/>
    </row>
    <row r="50" spans="1:3" s="47" customFormat="1">
      <c r="A50" s="6749" t="s">
        <v>3205</v>
      </c>
      <c r="B50" s="6749"/>
      <c r="C50" s="6749"/>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082" t="s">
        <v>1816</v>
      </c>
      <c r="B64" s="6082"/>
      <c r="C64" s="6082"/>
    </row>
    <row r="65" spans="1:3" s="47" customFormat="1">
      <c r="A65" s="6082" t="s">
        <v>3201</v>
      </c>
      <c r="B65" s="6082"/>
      <c r="C65" s="6082"/>
    </row>
    <row r="66" spans="1:3" s="47" customFormat="1">
      <c r="A66" s="6082" t="str">
        <f>A3</f>
        <v>12 HUYỆN, THÀNH PHỐ</v>
      </c>
      <c r="B66" s="6082"/>
      <c r="C66" s="6082"/>
    </row>
    <row r="67" spans="1:3" s="47" customFormat="1">
      <c r="A67" s="6738" t="str">
        <f>A4</f>
        <v>(Kèm theo Quyết định số        /QĐ-UBND-HC ngày      /12/2024 của Uỷ ban nhân dân tỉnh Đồng Tháp)</v>
      </c>
      <c r="B67" s="6738"/>
      <c r="C67" s="6738"/>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14" t="s">
        <v>136</v>
      </c>
      <c r="B70" s="4862" t="s">
        <v>137</v>
      </c>
      <c r="C70" s="4861" t="str">
        <f>C7</f>
        <v>Dự toán năm 2025</v>
      </c>
    </row>
    <row r="71" spans="1:3" s="47" customFormat="1">
      <c r="A71" s="5061"/>
      <c r="B71" s="2753" t="s">
        <v>1722</v>
      </c>
      <c r="C71" s="5062">
        <f>C72+C76+C80+C81+C82</f>
        <v>11751651.907000002</v>
      </c>
    </row>
    <row r="72" spans="1:3" s="47" customFormat="1">
      <c r="A72" s="5063" t="s">
        <v>3</v>
      </c>
      <c r="B72" s="2741" t="s">
        <v>1668</v>
      </c>
      <c r="C72" s="5064">
        <f>SUM(C74:C75)</f>
        <v>1683500</v>
      </c>
    </row>
    <row r="73" spans="1:3" s="47" customFormat="1">
      <c r="A73" s="5065"/>
      <c r="B73" s="2900" t="s">
        <v>822</v>
      </c>
      <c r="C73" s="5066"/>
    </row>
    <row r="74" spans="1:3" s="47" customFormat="1">
      <c r="A74" s="5067">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67">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63" t="s">
        <v>33</v>
      </c>
      <c r="B76" s="2741" t="s">
        <v>1817</v>
      </c>
      <c r="C76" s="2628">
        <f>+'H. HỒNG NGỰ'!C78+'TP.  HỒNG NGỰ'!C73+'H. TÂN HỒNG'!C76+'H. TAM NÔNG'!C77+'H. THANH BÌNH'!C78+'TP. CAO LÃNH'!C77+'H. CAO LÃNH'!C78+'H. THÁP MƯỜI'!C77+'H. LẤP VÒ'!C76+'H. LAI VUNG'!C76+'TP. SA ĐÉC'!C76+'H. CHÂU THÀNH'!C74</f>
        <v>9081425.3570000008</v>
      </c>
    </row>
    <row r="77" spans="1:3" s="47" customFormat="1">
      <c r="A77" s="5068"/>
      <c r="B77" s="2900" t="s">
        <v>822</v>
      </c>
      <c r="C77" s="5066"/>
    </row>
    <row r="78" spans="1:3" s="47" customFormat="1">
      <c r="A78" s="5067">
        <v>1</v>
      </c>
      <c r="B78" s="924" t="s">
        <v>1818</v>
      </c>
      <c r="C78" s="1656">
        <f>+'H. HỒNG NGỰ'!C80+'TP.  HỒNG NGỰ'!C75+'H. TÂN HỒNG'!C78+'H. TAM NÔNG'!C79+'H. THANH BÌNH'!C80+'TP. CAO LÃNH'!C79+'H. CAO LÃNH'!C80+'H. THÁP MƯỜI'!C79+'H. LẤP VÒ'!C78+'H. LAI VUNG'!C78+'TP. SA ĐÉC'!C78+'H. CHÂU THÀNH'!C76</f>
        <v>4752863.0000000009</v>
      </c>
    </row>
    <row r="79" spans="1:3" s="47" customFormat="1">
      <c r="A79" s="5067">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63"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63"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890" t="s">
        <v>718</v>
      </c>
      <c r="B82" s="2741" t="s">
        <v>1723</v>
      </c>
      <c r="C82" s="5064">
        <f>SUM(C83:C87)</f>
        <v>254385</v>
      </c>
    </row>
    <row r="83" spans="1:3" hidden="1">
      <c r="A83" s="5055"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55"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85" t="s">
        <v>29</v>
      </c>
      <c r="B85" s="2780" t="s">
        <v>3253</v>
      </c>
      <c r="C85" s="1656">
        <f>+'H. HỒNG NGỰ'!C87+'TP.  HỒNG NGỰ'!C82+'H. TÂN HỒNG'!C85+'H. TAM NÔNG'!C86+'H. THANH BÌNH'!C87+'TP. CAO LÃNH'!C86+'H. CAO LÃNH'!C87+'H. THÁP MƯỜI'!C86+'H. LẤP VÒ'!C85+'H. LAI VUNG'!C85+'TP. SA ĐÉC'!C85+'H. CHÂU THÀNH'!C83</f>
        <v>11626</v>
      </c>
    </row>
    <row r="86" spans="1:3" ht="36">
      <c r="A86" s="5385" t="s">
        <v>29</v>
      </c>
      <c r="B86" s="2780" t="s">
        <v>3271</v>
      </c>
      <c r="C86" s="1656">
        <f>+'H. HỒNG NGỰ'!C88+'TP.  HỒNG NGỰ'!C83+'H. TÂN HỒNG'!C86+'H. TAM NÔNG'!C87+'H. THANH BÌNH'!C88+'TP. CAO LÃNH'!C87+'H. CAO LÃNH'!C88+'H. THÁP MƯỜI'!C87+'H. LẤP VÒ'!C86+'H. LAI VUNG'!C86+'TP. SA ĐÉC'!C86+'H. CHÂU THÀNH'!C84</f>
        <v>84549</v>
      </c>
    </row>
    <row r="87" spans="1:3" ht="18.600000000000001" thickBot="1">
      <c r="A87" s="5390"/>
      <c r="B87" s="5434" t="s">
        <v>3243</v>
      </c>
      <c r="C87" s="4915">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1717</v>
      </c>
      <c r="B89" s="2903"/>
    </row>
    <row r="90" spans="1:3" s="47" customFormat="1">
      <c r="A90" s="6750" t="s">
        <v>1819</v>
      </c>
      <c r="B90" s="6751"/>
      <c r="C90" s="6751"/>
    </row>
    <row r="91" spans="1:3" s="47" customFormat="1" ht="60" customHeight="1">
      <c r="A91" s="6747" t="s">
        <v>1820</v>
      </c>
      <c r="B91" s="6748"/>
      <c r="C91" s="6748"/>
    </row>
    <row r="92" spans="1:3" s="47" customFormat="1">
      <c r="A92" s="6752" t="s">
        <v>1821</v>
      </c>
      <c r="B92" s="6752"/>
      <c r="C92" s="6752"/>
    </row>
    <row r="93" spans="1:3" s="47" customFormat="1">
      <c r="A93" s="6753" t="s">
        <v>1822</v>
      </c>
      <c r="B93" s="6753"/>
      <c r="C93" s="6753"/>
    </row>
    <row r="94" spans="1:3" s="2770" customFormat="1" ht="60" customHeight="1">
      <c r="A94" s="6747" t="s">
        <v>3225</v>
      </c>
      <c r="B94" s="6748"/>
      <c r="C94" s="6748"/>
    </row>
    <row r="95" spans="1:3" s="47" customFormat="1" ht="39.9" customHeight="1">
      <c r="A95" s="6748" t="s">
        <v>1823</v>
      </c>
      <c r="B95" s="6748"/>
      <c r="C95" s="6748"/>
    </row>
    <row r="96" spans="1:3" s="47" customFormat="1" ht="20.100000000000001" customHeight="1">
      <c r="A96" s="6754" t="s">
        <v>3226</v>
      </c>
      <c r="B96" s="6755"/>
      <c r="C96" s="5075" t="s">
        <v>3273</v>
      </c>
    </row>
    <row r="97" spans="1:3" s="47" customFormat="1">
      <c r="A97" s="6756" t="s">
        <v>1824</v>
      </c>
      <c r="B97" s="6756"/>
      <c r="C97" s="6756"/>
    </row>
    <row r="98" spans="1:3" s="47" customFormat="1" ht="60" customHeight="1">
      <c r="A98" s="6757" t="s">
        <v>1825</v>
      </c>
      <c r="B98" s="6758"/>
      <c r="C98" s="6758"/>
    </row>
    <row r="99" spans="1:3">
      <c r="C99" s="433"/>
    </row>
    <row r="123" spans="1:3">
      <c r="A123" s="6283" t="s">
        <v>1826</v>
      </c>
      <c r="B123" s="6283"/>
      <c r="C123" s="6283"/>
    </row>
    <row r="124" spans="1:3">
      <c r="A124" s="6283" t="s">
        <v>3203</v>
      </c>
      <c r="B124" s="6283"/>
      <c r="C124" s="6283"/>
    </row>
    <row r="125" spans="1:3">
      <c r="A125" s="6283" t="str">
        <f>A66</f>
        <v>12 HUYỆN, THÀNH PHỐ</v>
      </c>
      <c r="B125" s="6283"/>
      <c r="C125" s="6283"/>
    </row>
    <row r="126" spans="1:3">
      <c r="A126" s="6498" t="str">
        <f>A67</f>
        <v>(Kèm theo Quyết định số        /QĐ-UBND-HC ngày      /12/2024 của Uỷ ban nhân dân tỉnh Đồng Tháp)</v>
      </c>
      <c r="B126" s="6498"/>
      <c r="C126" s="6498"/>
    </row>
    <row r="128" spans="1:3" ht="18.600000000000001" thickBot="1">
      <c r="A128" s="2899"/>
      <c r="B128" s="2899"/>
      <c r="C128" s="2883" t="str">
        <f>C69</f>
        <v>Đơn vị tính: Triệu đồng</v>
      </c>
    </row>
    <row r="129" spans="1:7" ht="35.4" thickTop="1">
      <c r="A129" s="5014" t="s">
        <v>136</v>
      </c>
      <c r="B129" s="4862" t="s">
        <v>137</v>
      </c>
      <c r="C129" s="4861" t="str">
        <f>C70</f>
        <v>Dự toán năm 2025</v>
      </c>
    </row>
    <row r="130" spans="1:7" s="596" customFormat="1">
      <c r="A130" s="5015"/>
      <c r="B130" s="682" t="s">
        <v>3196</v>
      </c>
      <c r="C130" s="5016">
        <f>SUM(C131:C142)</f>
        <v>965960.30699999991</v>
      </c>
      <c r="E130" s="602">
        <f>+C42-C130</f>
        <v>-0.39999999979045242</v>
      </c>
    </row>
    <row r="131" spans="1:7" s="596" customFormat="1" ht="36">
      <c r="A131" s="593">
        <v>1</v>
      </c>
      <c r="B131" s="5022" t="s">
        <v>805</v>
      </c>
      <c r="C131" s="4538">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22" t="s">
        <v>1535</v>
      </c>
      <c r="C132" s="4538">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22" t="s">
        <v>3254</v>
      </c>
      <c r="C133" s="4538">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38">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3197</v>
      </c>
      <c r="C135" s="4538">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3198</v>
      </c>
      <c r="C136" s="4538">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3199</v>
      </c>
      <c r="C137" s="4538">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38">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12" t="s">
        <v>3156</v>
      </c>
      <c r="C139" s="4538">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13" t="s">
        <v>1510</v>
      </c>
      <c r="C140" s="4538">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53" t="s">
        <v>3223</v>
      </c>
      <c r="C141" s="4538">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19">
        <v>12</v>
      </c>
      <c r="B142" s="5190" t="s">
        <v>3234</v>
      </c>
      <c r="C142" s="5090">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283" t="str">
        <f>+'TỔNG CỘNG'!A1:C1</f>
        <v>PHỤ LỤC I</v>
      </c>
      <c r="B1" s="6283"/>
      <c r="C1" s="6283"/>
    </row>
    <row r="2" spans="1:3">
      <c r="A2" s="6283" t="str">
        <f>+'TỔNG CỘNG'!A2:C2</f>
        <v>NHIỆM VỤ THU NGÂN SÁCH NHÀ NƯỚC NĂM 2025</v>
      </c>
      <c r="B2" s="6283"/>
      <c r="C2" s="6283"/>
    </row>
    <row r="3" spans="1:3">
      <c r="A3" s="6283" t="s">
        <v>1487</v>
      </c>
      <c r="B3" s="6283"/>
      <c r="C3" s="6283"/>
    </row>
    <row r="4" spans="1:3">
      <c r="A4" s="6500" t="str">
        <f>+'TỔNG CỘNG'!A4:C4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156150</v>
      </c>
    </row>
    <row r="9" spans="1:3">
      <c r="A9" s="5025"/>
      <c r="B9" s="697" t="s">
        <v>784</v>
      </c>
      <c r="C9" s="5026">
        <f>C8-C29</f>
        <v>96150</v>
      </c>
    </row>
    <row r="10" spans="1:3">
      <c r="A10" s="5027">
        <v>1</v>
      </c>
      <c r="B10" s="701" t="s">
        <v>1477</v>
      </c>
      <c r="C10" s="5028">
        <f>SUM(C11:C15)</f>
        <v>31500</v>
      </c>
    </row>
    <row r="11" spans="1:3">
      <c r="A11" s="5029" t="s">
        <v>29</v>
      </c>
      <c r="B11" s="704" t="s">
        <v>786</v>
      </c>
      <c r="C11" s="5030">
        <f>'Phụ lục 7-HĐND'!F10</f>
        <v>17000</v>
      </c>
    </row>
    <row r="12" spans="1:3">
      <c r="A12" s="5029" t="s">
        <v>29</v>
      </c>
      <c r="B12" s="704" t="s">
        <v>787</v>
      </c>
      <c r="C12" s="5030">
        <f>'Phụ lục 7-HĐND'!F11</f>
        <v>4600</v>
      </c>
    </row>
    <row r="13" spans="1:3">
      <c r="A13" s="5029" t="s">
        <v>29</v>
      </c>
      <c r="B13" s="704" t="s">
        <v>788</v>
      </c>
      <c r="C13" s="5030">
        <f>'Phụ lục 7-HĐND'!F12</f>
        <v>0</v>
      </c>
    </row>
    <row r="14" spans="1:3">
      <c r="A14" s="5029" t="s">
        <v>29</v>
      </c>
      <c r="B14" s="704" t="s">
        <v>10</v>
      </c>
      <c r="C14" s="5030">
        <f>'Phụ lục 7-HĐND'!F13</f>
        <v>9900</v>
      </c>
    </row>
    <row r="15" spans="1:3">
      <c r="A15" s="5029" t="s">
        <v>29</v>
      </c>
      <c r="B15" s="704" t="s">
        <v>789</v>
      </c>
      <c r="C15" s="5030">
        <f>'Phụ lục 7-HĐND'!F14</f>
        <v>0</v>
      </c>
    </row>
    <row r="16" spans="1:3">
      <c r="A16" s="5027">
        <v>2</v>
      </c>
      <c r="B16" s="701" t="s">
        <v>20</v>
      </c>
      <c r="C16" s="5028">
        <f>SUM(C17:C18)</f>
        <v>11000</v>
      </c>
    </row>
    <row r="17" spans="1:3" hidden="1">
      <c r="A17" s="5031" t="s">
        <v>29</v>
      </c>
      <c r="B17" s="43" t="s">
        <v>790</v>
      </c>
      <c r="C17" s="5032">
        <f>'Phụ lục 7-HĐND'!F16</f>
        <v>0</v>
      </c>
    </row>
    <row r="18" spans="1:3" hidden="1">
      <c r="A18" s="5033" t="s">
        <v>29</v>
      </c>
      <c r="B18" s="711" t="s">
        <v>791</v>
      </c>
      <c r="C18" s="5032">
        <f>'Phụ lục 7-HĐND'!F17</f>
        <v>11000</v>
      </c>
    </row>
    <row r="19" spans="1:3" s="386" customFormat="1" ht="17.399999999999999">
      <c r="A19" s="5027">
        <v>3</v>
      </c>
      <c r="B19" s="701" t="s">
        <v>17</v>
      </c>
      <c r="C19" s="5028">
        <f>'Phụ lục 7-HĐND'!F18</f>
        <v>15000</v>
      </c>
    </row>
    <row r="20" spans="1:3" s="386" customFormat="1" ht="17.399999999999999">
      <c r="A20" s="5027">
        <v>4</v>
      </c>
      <c r="B20" s="701" t="s">
        <v>792</v>
      </c>
      <c r="C20" s="5028">
        <f>'Phụ lục 7-HĐND'!F19</f>
        <v>0</v>
      </c>
    </row>
    <row r="21" spans="1:3" s="386" customFormat="1" ht="17.399999999999999">
      <c r="A21" s="5027">
        <v>4</v>
      </c>
      <c r="B21" s="701" t="s">
        <v>97</v>
      </c>
      <c r="C21" s="5028">
        <f>'Phụ lục 7-HĐND'!F20</f>
        <v>0</v>
      </c>
    </row>
    <row r="22" spans="1:3">
      <c r="A22" s="5027">
        <v>5</v>
      </c>
      <c r="B22" s="701" t="s">
        <v>793</v>
      </c>
      <c r="C22" s="5028">
        <f>SUM(C23:C25)</f>
        <v>7500</v>
      </c>
    </row>
    <row r="23" spans="1:3">
      <c r="A23" s="5034" t="s">
        <v>29</v>
      </c>
      <c r="B23" s="43" t="s">
        <v>794</v>
      </c>
      <c r="C23" s="5032">
        <f>'Phụ lục 7-HĐND'!F22</f>
        <v>2500</v>
      </c>
    </row>
    <row r="24" spans="1:3">
      <c r="A24" s="5034" t="s">
        <v>29</v>
      </c>
      <c r="B24" s="43" t="s">
        <v>795</v>
      </c>
      <c r="C24" s="5032">
        <f>'Phụ lục 7-HĐND'!F23</f>
        <v>800</v>
      </c>
    </row>
    <row r="25" spans="1:3">
      <c r="A25" s="5034" t="s">
        <v>29</v>
      </c>
      <c r="B25" s="43" t="s">
        <v>796</v>
      </c>
      <c r="C25" s="5032">
        <f>'Phụ lục 7-HĐND'!F24</f>
        <v>4200</v>
      </c>
    </row>
    <row r="26" spans="1:3">
      <c r="A26" s="5027">
        <v>6</v>
      </c>
      <c r="B26" s="701" t="s">
        <v>24</v>
      </c>
      <c r="C26" s="5028">
        <f>SUM(C27:C28)</f>
        <v>2000</v>
      </c>
    </row>
    <row r="27" spans="1:3">
      <c r="A27" s="5034" t="s">
        <v>29</v>
      </c>
      <c r="B27" s="43" t="s">
        <v>790</v>
      </c>
      <c r="C27" s="5032">
        <f>'Phụ lục 7-HĐND'!F26</f>
        <v>0</v>
      </c>
    </row>
    <row r="28" spans="1:3">
      <c r="A28" s="5035" t="s">
        <v>29</v>
      </c>
      <c r="B28" s="711" t="s">
        <v>1809</v>
      </c>
      <c r="C28" s="5032">
        <f>'Phụ lục 7-HĐND'!F27</f>
        <v>2000</v>
      </c>
    </row>
    <row r="29" spans="1:3">
      <c r="A29" s="5027">
        <v>7</v>
      </c>
      <c r="B29" s="701" t="s">
        <v>242</v>
      </c>
      <c r="C29" s="5028">
        <f>SUM(C30:C31)</f>
        <v>60000</v>
      </c>
    </row>
    <row r="30" spans="1:3">
      <c r="A30" s="5034" t="s">
        <v>29</v>
      </c>
      <c r="B30" s="43" t="s">
        <v>790</v>
      </c>
      <c r="C30" s="5032">
        <f>'Phụ lục 7-HĐND'!F29</f>
        <v>0</v>
      </c>
    </row>
    <row r="31" spans="1:3">
      <c r="A31" s="5035" t="s">
        <v>29</v>
      </c>
      <c r="B31" s="711" t="s">
        <v>1810</v>
      </c>
      <c r="C31" s="5032">
        <f>'Phụ lục 7-HĐND'!F30</f>
        <v>60000</v>
      </c>
    </row>
    <row r="32" spans="1:3">
      <c r="A32" s="5027">
        <v>8</v>
      </c>
      <c r="B32" s="701" t="s">
        <v>798</v>
      </c>
      <c r="C32" s="5028">
        <f>SUM(C33:C35)</f>
        <v>29000</v>
      </c>
    </row>
    <row r="33" spans="1:3">
      <c r="A33" s="5034" t="s">
        <v>29</v>
      </c>
      <c r="B33" s="43" t="s">
        <v>799</v>
      </c>
      <c r="C33" s="5032">
        <f>'Phụ lục 7-HĐND'!F32</f>
        <v>2000</v>
      </c>
    </row>
    <row r="34" spans="1:3">
      <c r="A34" s="5034" t="s">
        <v>29</v>
      </c>
      <c r="B34" s="43" t="s">
        <v>800</v>
      </c>
      <c r="C34" s="5032">
        <f>'Phụ lục 7-HĐND'!F33</f>
        <v>0</v>
      </c>
    </row>
    <row r="35" spans="1:3">
      <c r="A35" s="5034" t="s">
        <v>29</v>
      </c>
      <c r="B35" s="43" t="s">
        <v>801</v>
      </c>
      <c r="C35" s="5032">
        <f>'Phụ lục 7-HĐND'!F34</f>
        <v>27000</v>
      </c>
    </row>
    <row r="36" spans="1:3">
      <c r="A36" s="5027">
        <v>9</v>
      </c>
      <c r="B36" s="5036" t="s">
        <v>1811</v>
      </c>
      <c r="C36" s="5028">
        <f>'Phụ lục 7-HĐND'!F35</f>
        <v>150</v>
      </c>
    </row>
    <row r="37" spans="1:3">
      <c r="A37" s="5027" t="s">
        <v>33</v>
      </c>
      <c r="B37" s="701" t="s">
        <v>1812</v>
      </c>
      <c r="C37" s="5037"/>
    </row>
    <row r="38" spans="1:3">
      <c r="A38" s="5027"/>
      <c r="B38" s="704" t="s">
        <v>1827</v>
      </c>
      <c r="C38" s="5038">
        <v>1</v>
      </c>
    </row>
    <row r="39" spans="1:3">
      <c r="A39" s="4971" t="s">
        <v>182</v>
      </c>
      <c r="B39" s="4972" t="s">
        <v>802</v>
      </c>
      <c r="C39" s="613">
        <f>SUM(C40:C42)</f>
        <v>620300.99</v>
      </c>
    </row>
    <row r="40" spans="1:3">
      <c r="A40" s="1926">
        <v>1</v>
      </c>
      <c r="B40" s="4968" t="s">
        <v>803</v>
      </c>
      <c r="C40" s="2608">
        <f>'Phụ lục 7-HĐND'!F37</f>
        <v>413967</v>
      </c>
    </row>
    <row r="41" spans="1:3">
      <c r="A41" s="1926">
        <v>2</v>
      </c>
      <c r="B41" s="1927" t="s">
        <v>3136</v>
      </c>
      <c r="C41" s="2608">
        <f>'Phụ lục 7-HĐND'!F38</f>
        <v>146571</v>
      </c>
    </row>
    <row r="42" spans="1:3">
      <c r="A42" s="1926">
        <v>3</v>
      </c>
      <c r="B42" s="4968" t="s">
        <v>3206</v>
      </c>
      <c r="C42" s="5045">
        <f>'Phụ lục 7-HĐND'!F39</f>
        <v>59762.99</v>
      </c>
    </row>
    <row r="43" spans="1:3" ht="18.600000000000001" thickBot="1">
      <c r="A43" s="4539" t="s">
        <v>215</v>
      </c>
      <c r="B43" s="5042" t="s">
        <v>1721</v>
      </c>
      <c r="C43" s="5043">
        <f>'Phụ lục 7-HĐND'!F40</f>
        <v>45493</v>
      </c>
    </row>
    <row r="44" spans="1:3" ht="19.2" hidden="1" thickTop="1" thickBot="1">
      <c r="A44" s="5039"/>
      <c r="B44" s="5040" t="s">
        <v>809</v>
      </c>
      <c r="C44" s="5041"/>
    </row>
    <row r="45" spans="1:3" ht="18.600000000000001" thickTop="1"/>
    <row r="46" spans="1:3">
      <c r="A46" s="6746" t="s">
        <v>1717</v>
      </c>
      <c r="B46" s="6746"/>
      <c r="C46" s="6746"/>
    </row>
    <row r="47" spans="1:3" ht="39" customHeight="1">
      <c r="A47" s="6759" t="str">
        <f>+'TỔNG CỘNG'!A47:C47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96.75" customHeight="1">
      <c r="A48" s="6761"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3">
      <c r="A49" s="381" t="str">
        <f>+'TỔNG CỘNG'!A49:C49</f>
        <v>(4): Các khoản thu phân chia theo tỷ lệ (%) giữa ngân sách cấp Tỉnh và ngân sách cấp huyện</v>
      </c>
    </row>
    <row r="50" spans="1:3">
      <c r="A50" s="6762" t="str">
        <f>+'TỔNG CỘNG'!A50:C50</f>
        <v>(5): Chi tiết thu bổ sung có mục tiêu theo Phụ lục số III</v>
      </c>
      <c r="B50" s="6762"/>
      <c r="C50" s="6762"/>
    </row>
    <row r="66" spans="1:3">
      <c r="A66" s="6283" t="str">
        <f>+'TỔNG CỘNG'!A64:C64</f>
        <v>PHỤ LỤC II</v>
      </c>
      <c r="B66" s="6283"/>
      <c r="C66" s="6283"/>
    </row>
    <row r="67" spans="1:3">
      <c r="A67" s="6283" t="str">
        <f>+'TỔNG CỘNG'!A65:C65</f>
        <v>NHIỆM VỤ CHI NGÂN SÁCH HUYỆN, THÀNH PHỐ NĂM 2025</v>
      </c>
      <c r="B67" s="6283"/>
      <c r="C67" s="6283"/>
    </row>
    <row r="68" spans="1:3">
      <c r="A68" s="6283" t="str">
        <f>A3</f>
        <v>HUYỆN HỒNG NGỰ</v>
      </c>
      <c r="B68" s="6283"/>
      <c r="C68" s="6283"/>
    </row>
    <row r="69" spans="1:3">
      <c r="A69" s="6500" t="str">
        <f>A4</f>
        <v>(Kèm theo Quyết định số        /QĐ-UBND-HC ngày      /12/2024 của Uỷ ban nhân dân tỉnh Đồng Tháp)</v>
      </c>
      <c r="B69" s="6500"/>
      <c r="C69" s="6500"/>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c r="A73" s="5071"/>
      <c r="B73" s="5069" t="str">
        <f>'[2]TỔNG CỘNG'!B65</f>
        <v>Tổng chi (I+II+III+IV)</v>
      </c>
      <c r="C73" s="5072">
        <f>C74+C78+C82+C83+C84</f>
        <v>800543.99</v>
      </c>
    </row>
    <row r="74" spans="1:3">
      <c r="A74" s="5050" t="s">
        <v>3</v>
      </c>
      <c r="B74" s="5070" t="str">
        <f>'[2]TỔNG CỘNG'!B66</f>
        <v>Chi đầu tư phát triển (1)</v>
      </c>
      <c r="C74" s="5028">
        <f>SUM(C76:C77)</f>
        <v>82000</v>
      </c>
    </row>
    <row r="75" spans="1:3">
      <c r="A75" s="5051"/>
      <c r="B75" s="2907" t="str">
        <f>'[2]TỔNG CỘNG'!B67</f>
        <v>Bao gồm:</v>
      </c>
      <c r="C75" s="5032"/>
    </row>
    <row r="76" spans="1:3">
      <c r="A76" s="5052">
        <v>1</v>
      </c>
      <c r="B76" s="2909" t="str">
        <f>'[2]TỔNG CỘNG'!B68</f>
        <v>Chi đầu tư xây dựng cơ bản</v>
      </c>
      <c r="C76" s="5032">
        <f>'Phụ lục 8-HĐND'!D9</f>
        <v>28000</v>
      </c>
    </row>
    <row r="77" spans="1:3">
      <c r="A77" s="5052">
        <v>2</v>
      </c>
      <c r="B77" s="2909" t="str">
        <f>'[2]TỔNG CỘNG'!B69</f>
        <v>Chi đầu tư từ nguồn thu tiền sử dụng đất</v>
      </c>
      <c r="C77" s="5032">
        <f>'Phụ lục 8-HĐND'!D10</f>
        <v>54000</v>
      </c>
    </row>
    <row r="78" spans="1:3">
      <c r="A78" s="5050" t="s">
        <v>33</v>
      </c>
      <c r="B78" s="2910" t="str">
        <f>'[2]TỔNG CỘNG'!B70</f>
        <v>Chi thường xuyên (2)</v>
      </c>
      <c r="C78" s="5028">
        <f>'Phụ lục 8-HĐND'!D11</f>
        <v>684403.33196736372</v>
      </c>
    </row>
    <row r="79" spans="1:3">
      <c r="A79" s="5053"/>
      <c r="B79" s="2907" t="str">
        <f>'[2]TỔNG CỘNG'!B71</f>
        <v>Bao gồm:</v>
      </c>
      <c r="C79" s="5032"/>
    </row>
    <row r="80" spans="1:3">
      <c r="A80" s="5052">
        <v>1</v>
      </c>
      <c r="B80" s="2909" t="str">
        <f>'[2]TỔNG CỘNG'!B72</f>
        <v>Sự nghiệp giáo dục - đào tạo (3)</v>
      </c>
      <c r="C80" s="5032">
        <f>'Phụ lục 8-HĐND'!D13</f>
        <v>400128</v>
      </c>
    </row>
    <row r="81" spans="1:3">
      <c r="A81" s="5052">
        <v>2</v>
      </c>
      <c r="B81" s="2909" t="str">
        <f>'[2]TỔNG CỘNG'!B73</f>
        <v>Các khoản chi thường xuyên còn lại</v>
      </c>
      <c r="C81" s="5032">
        <f>'Phụ lục 8-HĐND'!D14</f>
        <v>284275.33196736372</v>
      </c>
    </row>
    <row r="82" spans="1:3">
      <c r="A82" s="5050" t="s">
        <v>182</v>
      </c>
      <c r="B82" s="2910" t="str">
        <f>'[2]TỔNG CỘNG'!B74</f>
        <v>Dự phòng ngân sách</v>
      </c>
      <c r="C82" s="5028">
        <f>'Phụ lục 8-HĐND'!D15</f>
        <v>14837.9</v>
      </c>
    </row>
    <row r="83" spans="1:3">
      <c r="A83" s="5050" t="s">
        <v>215</v>
      </c>
      <c r="B83" s="2910" t="str">
        <f>'[2]TỔNG CỘNG'!B75</f>
        <v>Chi tạo nguồn cải cách tiền lương</v>
      </c>
      <c r="C83" s="5028">
        <f>'Phụ lục 8-HĐND'!D16</f>
        <v>0</v>
      </c>
    </row>
    <row r="84" spans="1:3">
      <c r="A84" s="5073" t="s">
        <v>718</v>
      </c>
      <c r="B84" s="701" t="str">
        <f>'[2]TỔNG CỘNG'!B76</f>
        <v>Chi từ nguồn ngân sách cấp Tỉnh bổ sung có mục tiêu</v>
      </c>
      <c r="C84" s="5028">
        <f>SUM(C85:C89)</f>
        <v>19302.758032636266</v>
      </c>
    </row>
    <row r="85" spans="1:3">
      <c r="A85" s="5055" t="s">
        <v>29</v>
      </c>
      <c r="B85" s="704" t="str">
        <f>'[2]TỔNG CỘNG'!B77</f>
        <v>Chi đầu tư xây dựng cơ bản</v>
      </c>
      <c r="C85" s="5032">
        <f>'Phụ lục 8-HĐND'!D18</f>
        <v>0</v>
      </c>
    </row>
    <row r="86" spans="1:3">
      <c r="A86" s="5055" t="s">
        <v>29</v>
      </c>
      <c r="B86" s="704" t="str">
        <f>'[2]TỔNG CỘNG'!B78</f>
        <v>Chi đầu tư từ nguồn xổ số kiến thiết</v>
      </c>
      <c r="C86" s="5032">
        <f>'Phụ lục 8-HĐND'!D19</f>
        <v>0</v>
      </c>
    </row>
    <row r="87" spans="1:3">
      <c r="A87" s="5385" t="s">
        <v>29</v>
      </c>
      <c r="B87" s="2780" t="s">
        <v>3253</v>
      </c>
      <c r="C87" s="5032">
        <f>'Phụ lục 8-HĐND'!D20</f>
        <v>1229</v>
      </c>
    </row>
    <row r="88" spans="1:3" ht="36">
      <c r="A88" s="5385" t="s">
        <v>29</v>
      </c>
      <c r="B88" s="2780" t="s">
        <v>3271</v>
      </c>
      <c r="C88" s="5032">
        <f>'Phụ lục 8-HĐND'!D21</f>
        <v>4750</v>
      </c>
    </row>
    <row r="89" spans="1:3" ht="18.600000000000001" thickBot="1">
      <c r="A89" s="5390"/>
      <c r="B89" s="5434" t="s">
        <v>3243</v>
      </c>
      <c r="C89" s="5059">
        <f>'Phụ lục 8-HĐND'!D22</f>
        <v>13323.758032636268</v>
      </c>
    </row>
    <row r="90" spans="1:3" ht="18.600000000000001" thickTop="1"/>
    <row r="91" spans="1:3">
      <c r="A91" s="588" t="s">
        <v>1717</v>
      </c>
      <c r="B91" s="2903"/>
    </row>
    <row r="92" spans="1:3">
      <c r="A92" s="6763" t="s">
        <v>1828</v>
      </c>
      <c r="B92" s="6764"/>
      <c r="C92" s="6764"/>
    </row>
    <row r="93" spans="1:3" s="2705" customFormat="1">
      <c r="A93" s="6765"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5"/>
      <c r="C93" s="6765"/>
    </row>
    <row r="94" spans="1:3" s="2705" customFormat="1">
      <c r="A94" s="6765" t="str">
        <f>+'TỔNG CỘNG'!A92:C92</f>
        <v>- Chưa bao gồm chi đầu tư từ nguồn vốn do ngân sách cấp tỉnh quản lý và phân bổ bổ sung có mục tiêu cho ngân sách huyện, thành phố</v>
      </c>
      <c r="B94" s="6765"/>
      <c r="C94" s="6765"/>
    </row>
    <row r="95" spans="1:3">
      <c r="A95" s="6766" t="s">
        <v>1829</v>
      </c>
      <c r="B95" s="6766"/>
      <c r="C95" s="6766"/>
    </row>
    <row r="96" spans="1:3" ht="60.75" customHeight="1">
      <c r="A96" s="6765"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5"/>
      <c r="C96" s="6765"/>
    </row>
    <row r="97" spans="1:3" s="596" customFormat="1" ht="40.5" customHeight="1">
      <c r="A97" s="6760"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60"/>
      <c r="C97" s="6760"/>
    </row>
    <row r="98" spans="1:3">
      <c r="A98" s="6762" t="str">
        <f>+'TỔNG CỘNG'!A96:B96</f>
        <v xml:space="preserve">- Bao gồm 10% tiết kiệm tăng thêm năm 2025 so với năm 2024 để thực hiện cải cách tiền lương năm 2025 là: </v>
      </c>
      <c r="B98" s="6762"/>
      <c r="C98" s="2912" t="s">
        <v>3272</v>
      </c>
    </row>
    <row r="99" spans="1:3" s="2704" customFormat="1" ht="17.399999999999999">
      <c r="A99" s="6767" t="str">
        <f>'[2]TỔNG CỘNG'!A91:C91</f>
        <v>(3): Trong đó:</v>
      </c>
      <c r="B99" s="6767"/>
      <c r="C99" s="6767"/>
    </row>
    <row r="100" spans="1:3" s="2705" customFormat="1" ht="63.75" customHeight="1">
      <c r="A100" s="6765"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5"/>
      <c r="C100" s="6765"/>
    </row>
    <row r="126" spans="1:3" s="386" customFormat="1" ht="17.399999999999999">
      <c r="A126" s="6283" t="str">
        <f>+'TỔNG CỘNG'!A123:C123</f>
        <v>PHỤ LỤC III</v>
      </c>
      <c r="B126" s="6283"/>
      <c r="C126" s="6283"/>
    </row>
    <row r="127" spans="1:3" s="386" customFormat="1" ht="17.399999999999999">
      <c r="A127" s="6283" t="str">
        <f>+'TỔNG CỘNG'!A124:C124</f>
        <v>CHI TỪ NGUỒN NGÂN SÁCH CẤP TỈNH BỔ SUNG CÓ MỤC TIÊU NĂM 2025</v>
      </c>
      <c r="B127" s="6283"/>
      <c r="C127" s="6283"/>
    </row>
    <row r="128" spans="1:3" s="386" customFormat="1" ht="17.399999999999999">
      <c r="A128" s="6283" t="str">
        <f>A68</f>
        <v>HUYỆN HỒNG NGỰ</v>
      </c>
      <c r="B128" s="6283"/>
      <c r="C128" s="6283"/>
    </row>
    <row r="129" spans="1:5" s="386" customFormat="1">
      <c r="A129" s="6498" t="str">
        <f>+A69</f>
        <v>(Kèm theo Quyết định số        /QĐ-UBND-HC ngày      /12/2024 của Uỷ ban nhân dân tỉnh Đồng Tháp)</v>
      </c>
      <c r="B129" s="6498"/>
      <c r="C129" s="6498"/>
    </row>
    <row r="131" spans="1:5" ht="18.600000000000001" thickBot="1">
      <c r="A131" s="2899"/>
      <c r="B131" s="2899"/>
      <c r="C131" s="2883" t="str">
        <f>C71</f>
        <v>Đơn vị tính: Triệu đồng</v>
      </c>
    </row>
    <row r="132" spans="1:5" ht="35.4" thickTop="1">
      <c r="A132" s="5014" t="s">
        <v>136</v>
      </c>
      <c r="B132" s="4862" t="s">
        <v>137</v>
      </c>
      <c r="C132" s="4861" t="str">
        <f>C72</f>
        <v>Dự toán năm 2025</v>
      </c>
    </row>
    <row r="133" spans="1:5" s="596" customFormat="1">
      <c r="A133" s="5015"/>
      <c r="B133" s="682" t="s">
        <v>3196</v>
      </c>
      <c r="C133" s="5046">
        <f>SUM(C134:C145)</f>
        <v>59762.99</v>
      </c>
      <c r="E133" s="597">
        <f>+C42-C133</f>
        <v>0</v>
      </c>
    </row>
    <row r="134" spans="1:5" s="380" customFormat="1" ht="36">
      <c r="A134" s="593">
        <v>1</v>
      </c>
      <c r="B134" s="5022" t="s">
        <v>805</v>
      </c>
      <c r="C134" s="5047">
        <f>'Phụ lục số 8.1'!P14</f>
        <v>14893.36</v>
      </c>
    </row>
    <row r="135" spans="1:5" s="596" customFormat="1">
      <c r="A135" s="593">
        <v>2</v>
      </c>
      <c r="B135" s="5022" t="str">
        <f>+'TỔNG CỘNG'!B132</f>
        <v>Kinh phí hỗ trợ địa phương sản xuất lúa</v>
      </c>
      <c r="C135" s="5047">
        <f>'Phụ lục số 8.1'!P15</f>
        <v>15250</v>
      </c>
    </row>
    <row r="136" spans="1:5" s="596" customFormat="1">
      <c r="A136" s="593">
        <v>3</v>
      </c>
      <c r="B136" s="5022" t="str">
        <f>+'TỔNG CỘNG'!B133</f>
        <v>Kinh phí biên chế giáo viên tăng thêm</v>
      </c>
      <c r="C136" s="5047">
        <f>+'Phụ lục số 8.1'!P18</f>
        <v>1229</v>
      </c>
    </row>
    <row r="137" spans="1:5" s="596" customFormat="1" ht="36">
      <c r="A137" s="593">
        <v>4</v>
      </c>
      <c r="B137" s="2525" t="s">
        <v>1608</v>
      </c>
      <c r="C137" s="5047">
        <f>'Phụ lục số 8.3-CĐCS'!AC13+'Phụ lục số 8.3-CĐCS'!AC14</f>
        <v>221</v>
      </c>
    </row>
    <row r="138" spans="1:5" s="596" customFormat="1">
      <c r="A138" s="593">
        <v>5</v>
      </c>
      <c r="B138" s="2525" t="s">
        <v>3197</v>
      </c>
      <c r="C138" s="5047"/>
    </row>
    <row r="139" spans="1:5" s="380" customFormat="1" ht="36">
      <c r="A139" s="593">
        <v>6</v>
      </c>
      <c r="B139" s="2525" t="s">
        <v>3198</v>
      </c>
      <c r="C139" s="5047">
        <f>'Phụ lục số 8.3-CĐCS'!AC15</f>
        <v>201</v>
      </c>
    </row>
    <row r="140" spans="1:5" s="596" customFormat="1" ht="36">
      <c r="A140" s="593">
        <v>7</v>
      </c>
      <c r="B140" s="2525" t="s">
        <v>3199</v>
      </c>
      <c r="C140" s="5047">
        <f>'Phụ lục số 8.3-CĐCS'!AC17+'Phụ lục số 8.3-CĐCS'!AC18</f>
        <v>24293</v>
      </c>
    </row>
    <row r="141" spans="1:5" s="596" customFormat="1" ht="36">
      <c r="A141" s="593">
        <v>8</v>
      </c>
      <c r="B141" s="2525" t="s">
        <v>1093</v>
      </c>
      <c r="C141" s="5047"/>
    </row>
    <row r="142" spans="1:5" ht="36">
      <c r="A142" s="593">
        <v>9</v>
      </c>
      <c r="B142" s="5012" t="s">
        <v>3156</v>
      </c>
      <c r="C142" s="5047">
        <f>'Phụ lục số 8.1'!P20</f>
        <v>986.43</v>
      </c>
    </row>
    <row r="143" spans="1:5">
      <c r="A143" s="593">
        <v>10</v>
      </c>
      <c r="B143" s="5013" t="s">
        <v>1510</v>
      </c>
      <c r="C143" s="5047">
        <f>'Phụ lục số 8.1'!P21</f>
        <v>0</v>
      </c>
    </row>
    <row r="144" spans="1:5">
      <c r="A144" s="593">
        <v>11</v>
      </c>
      <c r="B144" s="5013" t="str">
        <f>+'TỔNG CỘNG'!B141</f>
        <v>Kinh phí thực hiện hỗ trợ đào tạo nghề trình độ sơ cấp và đào tạo dưới 03 tháng năm 2025</v>
      </c>
      <c r="C144" s="5047"/>
    </row>
    <row r="145" spans="1:3" ht="18.600000000000001" thickBot="1">
      <c r="A145" s="5019">
        <v>12</v>
      </c>
      <c r="B145" s="5191" t="str">
        <f>+'TỔNG CỘNG'!B142</f>
        <v>Kinh phí tổ chức đại hội Đảng nhiệm kỳ 2025 - 2030</v>
      </c>
      <c r="C145" s="5048">
        <f>+'Phụ lục số 8.1'!P16</f>
        <v>2689.2</v>
      </c>
    </row>
    <row r="146" spans="1:3" ht="18.600000000000001" thickTop="1"/>
    <row r="147" spans="1:3">
      <c r="C147" s="667">
        <f>C42</f>
        <v>59762.99</v>
      </c>
    </row>
    <row r="148" spans="1:3">
      <c r="C148" s="5044">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+'H. HỒNG NGỰ'!A1:C1</f>
        <v>PHỤ LỤC I</v>
      </c>
      <c r="B1" s="6283"/>
      <c r="C1" s="6283"/>
    </row>
    <row r="2" spans="1:3">
      <c r="A2" s="6283" t="str" cm="1">
        <f t="array" ref="A2">'H. HỒNG NGỰ'!A2:C2</f>
        <v>NHIỆM VỤ THU NGÂN SÁCH NHÀ NƯỚC NĂM 2025</v>
      </c>
      <c r="B2" s="6283"/>
      <c r="C2" s="6283"/>
    </row>
    <row r="3" spans="1:3">
      <c r="A3" s="6283" t="s">
        <v>1488</v>
      </c>
      <c r="B3" s="6283"/>
      <c r="C3" s="6283"/>
    </row>
    <row r="4" spans="1:3">
      <c r="A4" s="6500" t="str">
        <f>+'H. HỒNG NGỰ'!A4:C4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392350</v>
      </c>
    </row>
    <row r="9" spans="1:3">
      <c r="A9" s="5025"/>
      <c r="B9" s="697" t="s">
        <v>784</v>
      </c>
      <c r="C9" s="5026">
        <f>C8-C29</f>
        <v>102350</v>
      </c>
    </row>
    <row r="10" spans="1:3">
      <c r="A10" s="5027">
        <v>1</v>
      </c>
      <c r="B10" s="701" t="s">
        <v>1477</v>
      </c>
      <c r="C10" s="5028">
        <f>SUM(C11:C15)</f>
        <v>35000</v>
      </c>
    </row>
    <row r="11" spans="1:3">
      <c r="A11" s="5029" t="s">
        <v>29</v>
      </c>
      <c r="B11" s="704" t="s">
        <v>786</v>
      </c>
      <c r="C11" s="5032">
        <f>'Phụ lục 7-HĐND'!I10</f>
        <v>23660</v>
      </c>
    </row>
    <row r="12" spans="1:3">
      <c r="A12" s="5029" t="s">
        <v>29</v>
      </c>
      <c r="B12" s="704" t="s">
        <v>787</v>
      </c>
      <c r="C12" s="5032">
        <f>'Phụ lục 7-HĐND'!I11</f>
        <v>11000</v>
      </c>
    </row>
    <row r="13" spans="1:3">
      <c r="A13" s="5029" t="s">
        <v>29</v>
      </c>
      <c r="B13" s="704" t="s">
        <v>788</v>
      </c>
      <c r="C13" s="5032">
        <f>'Phụ lục 7-HĐND'!I12</f>
        <v>300</v>
      </c>
    </row>
    <row r="14" spans="1:3">
      <c r="A14" s="5029" t="s">
        <v>29</v>
      </c>
      <c r="B14" s="704" t="s">
        <v>10</v>
      </c>
      <c r="C14" s="5032">
        <f>'Phụ lục 7-HĐND'!I13</f>
        <v>40</v>
      </c>
    </row>
    <row r="15" spans="1:3">
      <c r="A15" s="5029" t="s">
        <v>29</v>
      </c>
      <c r="B15" s="704" t="s">
        <v>789</v>
      </c>
      <c r="C15" s="5032">
        <f>'Phụ lục 7-HĐND'!I14</f>
        <v>0</v>
      </c>
    </row>
    <row r="16" spans="1:3">
      <c r="A16" s="5027">
        <v>2</v>
      </c>
      <c r="B16" s="701" t="s">
        <v>20</v>
      </c>
      <c r="C16" s="5028">
        <f>SUM(C17:C18)</f>
        <v>21000</v>
      </c>
    </row>
    <row r="17" spans="1:3" hidden="1">
      <c r="A17" s="5031" t="s">
        <v>29</v>
      </c>
      <c r="B17" s="43" t="s">
        <v>790</v>
      </c>
      <c r="C17" s="5032">
        <f>'Phụ lục 7-HĐND'!I16</f>
        <v>0</v>
      </c>
    </row>
    <row r="18" spans="1:3" hidden="1">
      <c r="A18" s="5033" t="s">
        <v>29</v>
      </c>
      <c r="B18" s="711" t="s">
        <v>791</v>
      </c>
      <c r="C18" s="5032">
        <f>'Phụ lục 7-HĐND'!I17</f>
        <v>21000</v>
      </c>
    </row>
    <row r="19" spans="1:3">
      <c r="A19" s="5027">
        <v>3</v>
      </c>
      <c r="B19" s="701" t="s">
        <v>17</v>
      </c>
      <c r="C19" s="5028">
        <f>'Phụ lục 7-HĐND'!I18</f>
        <v>20000</v>
      </c>
    </row>
    <row r="20" spans="1:3">
      <c r="A20" s="5027">
        <v>4</v>
      </c>
      <c r="B20" s="701" t="s">
        <v>792</v>
      </c>
      <c r="C20" s="5028">
        <f>'Phụ lục 7-HĐND'!I19</f>
        <v>0</v>
      </c>
    </row>
    <row r="21" spans="1:3">
      <c r="A21" s="5027">
        <v>4</v>
      </c>
      <c r="B21" s="701" t="s">
        <v>97</v>
      </c>
      <c r="C21" s="5028">
        <f>'Phụ lục 7-HĐND'!I20</f>
        <v>250</v>
      </c>
    </row>
    <row r="22" spans="1:3">
      <c r="A22" s="5027">
        <v>5</v>
      </c>
      <c r="B22" s="701" t="s">
        <v>793</v>
      </c>
      <c r="C22" s="5028">
        <f>SUM(C23:C25)</f>
        <v>6000</v>
      </c>
    </row>
    <row r="23" spans="1:3">
      <c r="A23" s="5034" t="s">
        <v>29</v>
      </c>
      <c r="B23" s="43" t="s">
        <v>794</v>
      </c>
      <c r="C23" s="5032">
        <f>'Phụ lục 7-HĐND'!I22</f>
        <v>3000</v>
      </c>
    </row>
    <row r="24" spans="1:3">
      <c r="A24" s="5034" t="s">
        <v>29</v>
      </c>
      <c r="B24" s="43" t="s">
        <v>795</v>
      </c>
      <c r="C24" s="5032">
        <f>'Phụ lục 7-HĐND'!I23</f>
        <v>0</v>
      </c>
    </row>
    <row r="25" spans="1:3">
      <c r="A25" s="5034" t="s">
        <v>29</v>
      </c>
      <c r="B25" s="43" t="s">
        <v>796</v>
      </c>
      <c r="C25" s="5032">
        <f>'Phụ lục 7-HĐND'!I24</f>
        <v>3000</v>
      </c>
    </row>
    <row r="26" spans="1:3">
      <c r="A26" s="5027">
        <v>6</v>
      </c>
      <c r="B26" s="701" t="s">
        <v>24</v>
      </c>
      <c r="C26" s="5028">
        <f>SUM(C27:C28)</f>
        <v>6000</v>
      </c>
    </row>
    <row r="27" spans="1:3">
      <c r="A27" s="5034" t="s">
        <v>29</v>
      </c>
      <c r="B27" s="43" t="s">
        <v>790</v>
      </c>
      <c r="C27" s="5032">
        <f>'Phụ lục 7-HĐND'!I26</f>
        <v>0</v>
      </c>
    </row>
    <row r="28" spans="1:3">
      <c r="A28" s="5035" t="s">
        <v>29</v>
      </c>
      <c r="B28" s="711" t="s">
        <v>1809</v>
      </c>
      <c r="C28" s="5032">
        <f>'Phụ lục 7-HĐND'!I27</f>
        <v>6000</v>
      </c>
    </row>
    <row r="29" spans="1:3">
      <c r="A29" s="5027">
        <v>7</v>
      </c>
      <c r="B29" s="701" t="s">
        <v>242</v>
      </c>
      <c r="C29" s="5028">
        <f>SUM(C30:C31)</f>
        <v>290000</v>
      </c>
    </row>
    <row r="30" spans="1:3">
      <c r="A30" s="5034" t="s">
        <v>29</v>
      </c>
      <c r="B30" s="43" t="s">
        <v>790</v>
      </c>
      <c r="C30" s="5032">
        <f>'Phụ lục 7-HĐND'!I29</f>
        <v>0</v>
      </c>
    </row>
    <row r="31" spans="1:3">
      <c r="A31" s="5035" t="s">
        <v>29</v>
      </c>
      <c r="B31" s="711" t="s">
        <v>1810</v>
      </c>
      <c r="C31" s="5032">
        <f>'Phụ lục 7-HĐND'!I30</f>
        <v>290000</v>
      </c>
    </row>
    <row r="32" spans="1:3">
      <c r="A32" s="5027">
        <v>8</v>
      </c>
      <c r="B32" s="701" t="s">
        <v>798</v>
      </c>
      <c r="C32" s="5028">
        <f>SUM(C33:C35)</f>
        <v>14000</v>
      </c>
    </row>
    <row r="33" spans="1:3">
      <c r="A33" s="5034" t="s">
        <v>29</v>
      </c>
      <c r="B33" s="43" t="s">
        <v>799</v>
      </c>
      <c r="C33" s="5032">
        <f>'Phụ lục 7-HĐND'!I32</f>
        <v>3000</v>
      </c>
    </row>
    <row r="34" spans="1:3">
      <c r="A34" s="5034" t="s">
        <v>29</v>
      </c>
      <c r="B34" s="43" t="s">
        <v>800</v>
      </c>
      <c r="C34" s="5032">
        <f>'Phụ lục 7-HĐND'!I33</f>
        <v>3000</v>
      </c>
    </row>
    <row r="35" spans="1:3">
      <c r="A35" s="5034" t="s">
        <v>29</v>
      </c>
      <c r="B35" s="43" t="s">
        <v>801</v>
      </c>
      <c r="C35" s="5032">
        <f>'Phụ lục 7-HĐND'!I34</f>
        <v>8000</v>
      </c>
    </row>
    <row r="36" spans="1:3">
      <c r="A36" s="5027">
        <v>9</v>
      </c>
      <c r="B36" s="2895" t="s">
        <v>1811</v>
      </c>
      <c r="C36" s="5028">
        <f>'Phụ lục 7-HĐND'!I35</f>
        <v>100</v>
      </c>
    </row>
    <row r="37" spans="1:3">
      <c r="A37" s="5027" t="s">
        <v>33</v>
      </c>
      <c r="B37" s="701" t="s">
        <v>1812</v>
      </c>
      <c r="C37" s="5037"/>
    </row>
    <row r="38" spans="1:3">
      <c r="A38" s="5027"/>
      <c r="B38" s="704" t="s">
        <v>1827</v>
      </c>
      <c r="C38" s="5038">
        <v>1</v>
      </c>
    </row>
    <row r="39" spans="1:3" s="596" customFormat="1">
      <c r="A39" s="4971" t="s">
        <v>182</v>
      </c>
      <c r="B39" s="4972" t="s">
        <v>802</v>
      </c>
      <c r="C39" s="613">
        <f>SUM(C40:C42)</f>
        <v>414420.174</v>
      </c>
    </row>
    <row r="40" spans="1:3" s="596" customFormat="1">
      <c r="A40" s="1926">
        <v>1</v>
      </c>
      <c r="B40" s="4968" t="s">
        <v>803</v>
      </c>
      <c r="C40" s="2608">
        <f>'Phụ lục 7-HĐND'!I37</f>
        <v>225665</v>
      </c>
    </row>
    <row r="41" spans="1:3" s="596" customFormat="1">
      <c r="A41" s="1926">
        <v>2</v>
      </c>
      <c r="B41" s="1927" t="s">
        <v>3136</v>
      </c>
      <c r="C41" s="2608">
        <f>'Phụ lục 7-HĐND'!I38</f>
        <v>141419</v>
      </c>
    </row>
    <row r="42" spans="1:3" s="596" customFormat="1">
      <c r="A42" s="1926">
        <v>3</v>
      </c>
      <c r="B42" s="4968" t="s">
        <v>3206</v>
      </c>
      <c r="C42" s="2608">
        <f>'Phụ lục 7-HĐND'!I39</f>
        <v>47336.173999999999</v>
      </c>
    </row>
    <row r="43" spans="1:3" s="596" customFormat="1" ht="18.600000000000001" thickBot="1">
      <c r="A43" s="4539" t="s">
        <v>215</v>
      </c>
      <c r="B43" s="5042" t="s">
        <v>1721</v>
      </c>
      <c r="C43" s="5043">
        <f>'Phụ lục 7-HĐND'!I40</f>
        <v>0</v>
      </c>
    </row>
    <row r="44" spans="1:3" ht="18.600000000000001" thickTop="1">
      <c r="A44" s="2914"/>
      <c r="B44" s="2914" t="s">
        <v>809</v>
      </c>
      <c r="C44" s="2915"/>
    </row>
    <row r="46" spans="1:3">
      <c r="A46" s="6746" t="s">
        <v>1717</v>
      </c>
      <c r="B46" s="6746"/>
      <c r="C46" s="6746"/>
    </row>
    <row r="47" spans="1:3" ht="40.5" customHeight="1">
      <c r="A47" s="6759" t="str">
        <f>+'H. HỒNG NGỰ'!A47:C47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97.5" customHeight="1">
      <c r="A48" s="6761"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283" t="str">
        <f>+'H. HỒNG NGỰ'!A66:C66</f>
        <v>PHỤ LỤC II</v>
      </c>
      <c r="B61" s="6283"/>
      <c r="C61" s="6283"/>
    </row>
    <row r="62" spans="1:3">
      <c r="A62" s="6283" t="str">
        <f>+'H. HỒNG NGỰ'!A67:C67</f>
        <v>NHIỆM VỤ CHI NGÂN SÁCH HUYỆN, THÀNH PHỐ NĂM 2025</v>
      </c>
      <c r="B62" s="6283"/>
      <c r="C62" s="6283"/>
    </row>
    <row r="63" spans="1:3">
      <c r="A63" s="6283" t="str">
        <f>A3</f>
        <v>THÀNH PHỐ HỒNG NGỰ</v>
      </c>
      <c r="B63" s="6283"/>
      <c r="C63" s="6283"/>
    </row>
    <row r="64" spans="1:3">
      <c r="A64" s="6500" t="str">
        <f>A4</f>
        <v>(Kèm theo Quyết định số        /QĐ-UBND-HC ngày      /12/2024 của Uỷ ban nhân dân tỉnh Đồng Tháp)</v>
      </c>
      <c r="B64" s="6500"/>
      <c r="C64" s="6500"/>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50" t="str">
        <f>'[2]H. HỒNG NGỰ'!B64</f>
        <v>Nội dung</v>
      </c>
      <c r="C67" s="4543" t="str">
        <f>C7</f>
        <v>Dự toán năm 2025</v>
      </c>
    </row>
    <row r="68" spans="1:3">
      <c r="A68" s="5049"/>
      <c r="B68" s="693" t="str">
        <f>'[2]H. HỒNG NGỰ'!B65</f>
        <v>Tổng chi (I+II+III+IV)</v>
      </c>
      <c r="C68" s="5024">
        <f>C69+C73+C77+C78+C79</f>
        <v>767830.17399999988</v>
      </c>
    </row>
    <row r="69" spans="1:3">
      <c r="A69" s="5050" t="s">
        <v>3</v>
      </c>
      <c r="B69" s="2910" t="str">
        <f>'[2]H. HỒNG NGỰ'!B66</f>
        <v>Chi đầu tư phát triển (1)</v>
      </c>
      <c r="C69" s="5028">
        <f>SUM(C71:C72)</f>
        <v>289000</v>
      </c>
    </row>
    <row r="70" spans="1:3">
      <c r="A70" s="5051"/>
      <c r="B70" s="2916" t="str">
        <f>'[2]H. HỒNG NGỰ'!B67</f>
        <v>Bao gồm:</v>
      </c>
      <c r="C70" s="5032"/>
    </row>
    <row r="71" spans="1:3">
      <c r="A71" s="5052">
        <v>1</v>
      </c>
      <c r="B71" s="2917" t="str">
        <f>'[2]H. HỒNG NGỰ'!B68</f>
        <v>Chi đầu tư xây dựng cơ bản</v>
      </c>
      <c r="C71" s="5032">
        <f>'Phụ lục 8-HĐND'!E9</f>
        <v>28000</v>
      </c>
    </row>
    <row r="72" spans="1:3">
      <c r="A72" s="5052">
        <v>2</v>
      </c>
      <c r="B72" s="2917" t="str">
        <f>'[2]H. HỒNG NGỰ'!B69</f>
        <v>Chi đầu tư từ nguồn thu tiền sử dụng đất</v>
      </c>
      <c r="C72" s="5032">
        <f>'Phụ lục 8-HĐND'!E10</f>
        <v>261000</v>
      </c>
    </row>
    <row r="73" spans="1:3">
      <c r="A73" s="5050" t="s">
        <v>33</v>
      </c>
      <c r="B73" s="2910" t="str">
        <f>'[2]H. HỒNG NGỰ'!B70</f>
        <v>Chi thường xuyên (2)</v>
      </c>
      <c r="C73" s="5028">
        <f>'Phụ lục 8-HĐND'!E11</f>
        <v>452281.24502259243</v>
      </c>
    </row>
    <row r="74" spans="1:3">
      <c r="A74" s="5053"/>
      <c r="B74" s="2907" t="str">
        <f>'[2]H. HỒNG NGỰ'!B71</f>
        <v>Bao gồm:</v>
      </c>
      <c r="C74" s="5032"/>
    </row>
    <row r="75" spans="1:3">
      <c r="A75" s="5052">
        <v>1</v>
      </c>
      <c r="B75" s="2909" t="str">
        <f>'[2]H. HỒNG NGỰ'!B72</f>
        <v>Sự nghiệp giáo dục - đào tạo (3)</v>
      </c>
      <c r="C75" s="5032">
        <f>'Phụ lục 8-HĐND'!E13</f>
        <v>232764.4</v>
      </c>
    </row>
    <row r="76" spans="1:3">
      <c r="A76" s="5052">
        <v>2</v>
      </c>
      <c r="B76" s="2909" t="str">
        <f>'[2]H. HỒNG NGỰ'!B73</f>
        <v>Các khoản chi thường xuyên còn lại</v>
      </c>
      <c r="C76" s="5032">
        <f>'Phụ lục 8-HĐND'!E14</f>
        <v>219516.84502259243</v>
      </c>
    </row>
    <row r="77" spans="1:3">
      <c r="A77" s="5050" t="s">
        <v>182</v>
      </c>
      <c r="B77" s="2910" t="str">
        <f>'[2]H. HỒNG NGỰ'!B74</f>
        <v>Dự phòng ngân sách</v>
      </c>
      <c r="C77" s="5054">
        <f>'Phụ lục 8-HĐND'!E15</f>
        <v>14699.4</v>
      </c>
    </row>
    <row r="78" spans="1:3">
      <c r="A78" s="5050" t="s">
        <v>215</v>
      </c>
      <c r="B78" s="2910" t="str">
        <f>'[2]H. HỒNG NGỰ'!B75</f>
        <v>Chi tạo nguồn cải cách tiền lương</v>
      </c>
      <c r="C78" s="5028">
        <f>'Phụ lục 8-HĐND'!E16</f>
        <v>0</v>
      </c>
    </row>
    <row r="79" spans="1:3">
      <c r="A79" s="5073" t="s">
        <v>718</v>
      </c>
      <c r="B79" s="701" t="str">
        <f>'[2]H. HỒNG NGỰ'!B76</f>
        <v>Chi từ nguồn ngân sách cấp Tỉnh bổ sung có mục tiêu</v>
      </c>
      <c r="C79" s="5028">
        <f>SUM(C80:C84)</f>
        <v>11849.528977407539</v>
      </c>
    </row>
    <row r="80" spans="1:3">
      <c r="A80" s="5055" t="s">
        <v>29</v>
      </c>
      <c r="B80" s="704" t="str">
        <f>+'H. HỒNG NGỰ'!B85</f>
        <v>Chi đầu tư xây dựng cơ bản</v>
      </c>
      <c r="C80" s="5032">
        <f>'Phụ lục 8-HĐND'!E18</f>
        <v>0</v>
      </c>
    </row>
    <row r="81" spans="1:3">
      <c r="A81" s="5055" t="s">
        <v>29</v>
      </c>
      <c r="B81" s="704" t="str">
        <f>+'H. HỒNG NGỰ'!B86</f>
        <v>Chi đầu tư từ nguồn xổ số kiến thiết</v>
      </c>
      <c r="C81" s="5032">
        <f>'Phụ lục 8-HĐND'!E19</f>
        <v>0</v>
      </c>
    </row>
    <row r="82" spans="1:3">
      <c r="A82" s="5055" t="s">
        <v>29</v>
      </c>
      <c r="B82" s="704" t="str">
        <f>+'H. HỒNG NGỰ'!B87</f>
        <v>Chi từ nguồn ngân sách trung ương bổ sung có mục tiêu (kinh phí biên chế giáo viên tăng thêm)</v>
      </c>
      <c r="C82" s="5032">
        <f>'Phụ lục 8-HĐND'!E20</f>
        <v>722</v>
      </c>
    </row>
    <row r="83" spans="1:3">
      <c r="A83" s="5056" t="s">
        <v>29</v>
      </c>
      <c r="B83" s="2901" t="str">
        <f>+'H. HỒNG NGỰ'!B88</f>
        <v>Chi từ nguồn ngân sách trung ương bổ sung có mục tiêu (kinh phí hỗ trợ địa phương sản xuất lúa năm 2025)</v>
      </c>
      <c r="C83" s="5032">
        <f>'Phụ lục 8-HĐND'!E21</f>
        <v>3750</v>
      </c>
    </row>
    <row r="84" spans="1:3" ht="18.600000000000001" thickBot="1">
      <c r="A84" s="5057"/>
      <c r="B84" s="5891" t="str">
        <f>+'H. HỒNG NGỰ'!B89</f>
        <v>Chi từ nguồn ngân sách trung ương bổ sung có mục tiêu (chính sách an sinh xã hội năm 2025)</v>
      </c>
      <c r="C84" s="5059">
        <f>'Phụ lục 8-HĐND'!E22</f>
        <v>7377.52897740754</v>
      </c>
    </row>
    <row r="85" spans="1:3" ht="18.600000000000001" thickTop="1"/>
    <row r="86" spans="1:3">
      <c r="A86" s="588" t="s">
        <v>1717</v>
      </c>
      <c r="B86" s="2903"/>
    </row>
    <row r="87" spans="1:3" s="2705" customFormat="1">
      <c r="A87" s="6769" t="s">
        <v>1831</v>
      </c>
      <c r="B87" s="6770"/>
      <c r="C87" s="6770"/>
    </row>
    <row r="88" spans="1:3" s="2705" customFormat="1">
      <c r="A88" s="6771"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771"/>
      <c r="C88" s="6771"/>
    </row>
    <row r="89" spans="1:3" s="2705" customFormat="1">
      <c r="A89" s="6771" t="str">
        <f>+'H. HỒNG NGỰ'!A94:C94</f>
        <v>- Chưa bao gồm chi đầu tư từ nguồn vốn do ngân sách cấp tỉnh quản lý và phân bổ bổ sung có mục tiêu cho ngân sách huyện, thành phố</v>
      </c>
      <c r="B89" s="6771"/>
      <c r="C89" s="6771"/>
    </row>
    <row r="90" spans="1:3">
      <c r="A90" s="6766" t="s">
        <v>1829</v>
      </c>
      <c r="B90" s="6766"/>
      <c r="C90" s="6766"/>
    </row>
    <row r="91" spans="1:3" ht="60.75" customHeight="1">
      <c r="A91" s="6771"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771"/>
      <c r="C91" s="6771"/>
    </row>
    <row r="92" spans="1:3" s="596" customFormat="1" ht="40.5" customHeight="1">
      <c r="A92" s="6772"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772"/>
      <c r="C92" s="6772"/>
    </row>
    <row r="93" spans="1:3">
      <c r="A93" s="381" t="str">
        <f>+'H. HỒNG NGỰ'!A98:B98</f>
        <v xml:space="preserve">- Bao gồm 10% tiết kiệm tăng thêm năm 2025 so với năm 2024 để thực hiện cải cách tiền lương năm 2025 là: </v>
      </c>
      <c r="C93" s="2912" t="s">
        <v>1830</v>
      </c>
    </row>
    <row r="94" spans="1:3" s="2704" customFormat="1" ht="17.399999999999999">
      <c r="A94" s="6768" t="str">
        <f>'[2]H. HỒNG NGỰ'!A91:C91</f>
        <v>(3): Trong đó:</v>
      </c>
      <c r="B94" s="6768"/>
      <c r="C94" s="6768"/>
    </row>
    <row r="95" spans="1:3" s="2705" customFormat="1" ht="63" customHeight="1">
      <c r="A95" s="6771"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771"/>
      <c r="C95" s="6771"/>
    </row>
    <row r="118" spans="1:5">
      <c r="A118" s="6283" t="str">
        <f>+'H. HỒNG NGỰ'!A126:C126</f>
        <v>PHỤ LỤC III</v>
      </c>
      <c r="B118" s="6283"/>
      <c r="C118" s="6283"/>
    </row>
    <row r="119" spans="1:5">
      <c r="A119" s="6283" t="str">
        <f>+'H. HỒNG NGỰ'!A127:C127</f>
        <v>CHI TỪ NGUỒN NGÂN SÁCH CẤP TỈNH BỔ SUNG CÓ MỤC TIÊU NĂM 2025</v>
      </c>
      <c r="B119" s="6283"/>
      <c r="C119" s="6283"/>
    </row>
    <row r="120" spans="1:5">
      <c r="A120" s="6283" t="str">
        <f>A63</f>
        <v>THÀNH PHỐ HỒNG NGỰ</v>
      </c>
      <c r="B120" s="6283"/>
      <c r="C120" s="6283"/>
    </row>
    <row r="121" spans="1:5">
      <c r="A121" s="6498" t="str">
        <f>+A64</f>
        <v>(Kèm theo Quyết định số        /QĐ-UBND-HC ngày      /12/2024 của Uỷ ban nhân dân tỉnh Đồng Tháp)</v>
      </c>
      <c r="B121" s="6498"/>
      <c r="C121" s="6498"/>
    </row>
    <row r="123" spans="1:5" ht="18.600000000000001" thickBot="1">
      <c r="A123" s="2899"/>
      <c r="B123" s="2899"/>
      <c r="C123" s="2883" t="str">
        <f>C66</f>
        <v>Đơn vị tính: Triệu đồng</v>
      </c>
    </row>
    <row r="124" spans="1:5" ht="35.4" thickTop="1">
      <c r="A124" s="5014" t="s">
        <v>136</v>
      </c>
      <c r="B124" s="4862" t="s">
        <v>137</v>
      </c>
      <c r="C124" s="4861" t="str">
        <f>C67</f>
        <v>Dự toán năm 2025</v>
      </c>
    </row>
    <row r="125" spans="1:5">
      <c r="A125" s="5015"/>
      <c r="B125" s="682" t="s">
        <v>3196</v>
      </c>
      <c r="C125" s="5046">
        <f>SUM(C126:C137)</f>
        <v>47336.173999999999</v>
      </c>
      <c r="E125" s="667">
        <f>+C42-C125</f>
        <v>0</v>
      </c>
    </row>
    <row r="126" spans="1:5" ht="36">
      <c r="A126" s="593">
        <v>1</v>
      </c>
      <c r="B126" s="5022" t="s">
        <v>805</v>
      </c>
      <c r="C126" s="4538">
        <f>'Phụ lục số 8.1'!X14</f>
        <v>7094.85</v>
      </c>
    </row>
    <row r="127" spans="1:5">
      <c r="A127" s="593">
        <v>2</v>
      </c>
      <c r="B127" s="5022" t="str">
        <f>+'H. HỒNG NGỰ'!B135</f>
        <v>Kinh phí hỗ trợ địa phương sản xuất lúa</v>
      </c>
      <c r="C127" s="4538">
        <f>'Phụ lục số 8.1'!X15</f>
        <v>12250</v>
      </c>
    </row>
    <row r="128" spans="1:5">
      <c r="A128" s="593">
        <v>3</v>
      </c>
      <c r="B128" s="5022" t="str">
        <f>+'H. HỒNG NGỰ'!B136</f>
        <v>Kinh phí biên chế giáo viên tăng thêm</v>
      </c>
      <c r="C128" s="4538">
        <f>+'Phụ lục số 8.1'!X18</f>
        <v>722</v>
      </c>
    </row>
    <row r="129" spans="1:3" ht="36">
      <c r="A129" s="593">
        <v>4</v>
      </c>
      <c r="B129" s="2525" t="s">
        <v>1608</v>
      </c>
      <c r="C129" s="4538">
        <f>'Phụ lục số 8.3-CĐCS'!AQ13</f>
        <v>300</v>
      </c>
    </row>
    <row r="130" spans="1:3">
      <c r="A130" s="593">
        <v>5</v>
      </c>
      <c r="B130" s="2525" t="s">
        <v>3197</v>
      </c>
      <c r="C130" s="4538">
        <f>'Phụ lục số 8.3-CĐCS'!AQ14</f>
        <v>52</v>
      </c>
    </row>
    <row r="131" spans="1:3" ht="36">
      <c r="A131" s="593">
        <v>6</v>
      </c>
      <c r="B131" s="2525" t="s">
        <v>3198</v>
      </c>
      <c r="C131" s="4538">
        <f>'Phụ lục số 8.3-CĐCS'!AQ15</f>
        <v>6</v>
      </c>
    </row>
    <row r="132" spans="1:3" ht="36">
      <c r="A132" s="593">
        <v>7</v>
      </c>
      <c r="B132" s="2525" t="s">
        <v>3199</v>
      </c>
      <c r="C132" s="5018">
        <f>'Phụ lục số 8.3-CĐCS'!AQ17+'Phụ lục số 8.3-CĐCS'!AQ18</f>
        <v>13327</v>
      </c>
    </row>
    <row r="133" spans="1:3" ht="36">
      <c r="A133" s="593">
        <v>8</v>
      </c>
      <c r="B133" s="2525" t="s">
        <v>1093</v>
      </c>
      <c r="C133" s="5017">
        <f>0</f>
        <v>0</v>
      </c>
    </row>
    <row r="134" spans="1:3" ht="36">
      <c r="A134" s="593">
        <v>9</v>
      </c>
      <c r="B134" s="5012" t="s">
        <v>3156</v>
      </c>
      <c r="C134" s="5018">
        <f>'Phụ lục số 8.1'!X20</f>
        <v>542.16</v>
      </c>
    </row>
    <row r="135" spans="1:3">
      <c r="A135" s="593">
        <v>10</v>
      </c>
      <c r="B135" s="5013" t="s">
        <v>1510</v>
      </c>
      <c r="C135" s="5018">
        <f>'Phụ lục số 8.1'!X22</f>
        <v>10860</v>
      </c>
    </row>
    <row r="136" spans="1:3">
      <c r="A136" s="593">
        <v>11</v>
      </c>
      <c r="B136" s="5013" t="str">
        <f>+'H. HỒNG NGỰ'!B144</f>
        <v>Kinh phí thực hiện hỗ trợ đào tạo nghề trình độ sơ cấp và đào tạo dưới 03 tháng năm 2025</v>
      </c>
      <c r="C136" s="5018"/>
    </row>
    <row r="137" spans="1:3" ht="18.600000000000001" thickBot="1">
      <c r="A137" s="5019">
        <v>12</v>
      </c>
      <c r="B137" s="5192" t="str">
        <f>+'H. HỒNG NGỰ'!B145</f>
        <v>Kinh phí tổ chức đại hội Đảng nhiệm kỳ 2025 - 2030</v>
      </c>
      <c r="C137" s="5021">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+'TP.  HỒNG NGỰ'!A1:C1</f>
        <v>PHỤ LỤC I</v>
      </c>
      <c r="B1" s="6283"/>
      <c r="C1" s="6283"/>
    </row>
    <row r="2" spans="1:3">
      <c r="A2" s="6283" t="str">
        <f>+'TP.  HỒNG NGỰ'!A2:C2</f>
        <v>NHIỆM VỤ THU NGÂN SÁCH NHÀ NƯỚC NĂM 2025</v>
      </c>
      <c r="B2" s="6283"/>
      <c r="C2" s="6283"/>
    </row>
    <row r="3" spans="1:3">
      <c r="A3" s="6283" t="s">
        <v>1489</v>
      </c>
      <c r="B3" s="6283"/>
      <c r="C3" s="6283"/>
    </row>
    <row r="4" spans="1:3">
      <c r="A4" s="6500" t="str">
        <f>+'TP.  HỒNG NGỰ'!A4:C4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104800</v>
      </c>
    </row>
    <row r="9" spans="1:3">
      <c r="A9" s="5025"/>
      <c r="B9" s="697" t="s">
        <v>784</v>
      </c>
      <c r="C9" s="5026">
        <f>C8-C29</f>
        <v>74800</v>
      </c>
    </row>
    <row r="10" spans="1:3">
      <c r="A10" s="5027">
        <v>1</v>
      </c>
      <c r="B10" s="701" t="s">
        <v>1477</v>
      </c>
      <c r="C10" s="5028">
        <f>SUM(C11:C15)</f>
        <v>32000</v>
      </c>
    </row>
    <row r="11" spans="1:3">
      <c r="A11" s="5029" t="s">
        <v>29</v>
      </c>
      <c r="B11" s="704" t="s">
        <v>786</v>
      </c>
      <c r="C11" s="5032">
        <f>+'Phụ lục 7-HĐND'!L10</f>
        <v>30500</v>
      </c>
    </row>
    <row r="12" spans="1:3">
      <c r="A12" s="5029" t="s">
        <v>29</v>
      </c>
      <c r="B12" s="704" t="s">
        <v>787</v>
      </c>
      <c r="C12" s="5032">
        <f>+'Phụ lục 7-HĐND'!L11</f>
        <v>1400</v>
      </c>
    </row>
    <row r="13" spans="1:3">
      <c r="A13" s="5029" t="s">
        <v>29</v>
      </c>
      <c r="B13" s="704" t="s">
        <v>788</v>
      </c>
      <c r="C13" s="5032">
        <f>+'Phụ lục 7-HĐND'!L12</f>
        <v>50</v>
      </c>
    </row>
    <row r="14" spans="1:3">
      <c r="A14" s="5029" t="s">
        <v>29</v>
      </c>
      <c r="B14" s="704" t="s">
        <v>10</v>
      </c>
      <c r="C14" s="5032">
        <f>+'Phụ lục 7-HĐND'!L13</f>
        <v>50</v>
      </c>
    </row>
    <row r="15" spans="1:3">
      <c r="A15" s="5029" t="s">
        <v>29</v>
      </c>
      <c r="B15" s="704" t="s">
        <v>789</v>
      </c>
      <c r="C15" s="5032">
        <f>+'Phụ lục 7-HĐND'!L14</f>
        <v>0</v>
      </c>
    </row>
    <row r="16" spans="1:3">
      <c r="A16" s="5027">
        <v>2</v>
      </c>
      <c r="B16" s="701" t="s">
        <v>20</v>
      </c>
      <c r="C16" s="5028">
        <f>SUM(C17:C18)</f>
        <v>15000</v>
      </c>
    </row>
    <row r="17" spans="1:3" hidden="1">
      <c r="A17" s="5031" t="s">
        <v>29</v>
      </c>
      <c r="B17" s="43" t="s">
        <v>790</v>
      </c>
      <c r="C17" s="5032">
        <f>+'Phụ lục 7-HĐND'!L16</f>
        <v>0</v>
      </c>
    </row>
    <row r="18" spans="1:3" hidden="1">
      <c r="A18" s="5033" t="s">
        <v>29</v>
      </c>
      <c r="B18" s="711" t="s">
        <v>791</v>
      </c>
      <c r="C18" s="5032">
        <f>+'Phụ lục 7-HĐND'!L17</f>
        <v>15000</v>
      </c>
    </row>
    <row r="19" spans="1:3" s="588" customFormat="1" ht="17.399999999999999">
      <c r="A19" s="5027">
        <v>3</v>
      </c>
      <c r="B19" s="701" t="s">
        <v>17</v>
      </c>
      <c r="C19" s="5028">
        <f>+'Phụ lục 7-HĐND'!L18</f>
        <v>13000</v>
      </c>
    </row>
    <row r="20" spans="1:3" s="588" customFormat="1" ht="17.399999999999999">
      <c r="A20" s="5027">
        <v>4</v>
      </c>
      <c r="B20" s="701" t="s">
        <v>792</v>
      </c>
      <c r="C20" s="5028">
        <f>+'Phụ lục 7-HĐND'!L19</f>
        <v>0</v>
      </c>
    </row>
    <row r="21" spans="1:3" s="588" customFormat="1" ht="17.399999999999999">
      <c r="A21" s="5027">
        <v>4</v>
      </c>
      <c r="B21" s="701" t="s">
        <v>97</v>
      </c>
      <c r="C21" s="5028">
        <f>+'Phụ lục 7-HĐND'!L20</f>
        <v>300</v>
      </c>
    </row>
    <row r="22" spans="1:3">
      <c r="A22" s="5027">
        <v>5</v>
      </c>
      <c r="B22" s="701" t="s">
        <v>793</v>
      </c>
      <c r="C22" s="5028">
        <f>SUM(C23:C25)</f>
        <v>3500</v>
      </c>
    </row>
    <row r="23" spans="1:3">
      <c r="A23" s="5034" t="s">
        <v>29</v>
      </c>
      <c r="B23" s="43" t="s">
        <v>794</v>
      </c>
      <c r="C23" s="5032">
        <f>+'Phụ lục 7-HĐND'!L22</f>
        <v>1500</v>
      </c>
    </row>
    <row r="24" spans="1:3">
      <c r="A24" s="5034" t="s">
        <v>29</v>
      </c>
      <c r="B24" s="43" t="s">
        <v>795</v>
      </c>
      <c r="C24" s="5032">
        <f>+'Phụ lục 7-HĐND'!L23</f>
        <v>150</v>
      </c>
    </row>
    <row r="25" spans="1:3">
      <c r="A25" s="5034" t="s">
        <v>29</v>
      </c>
      <c r="B25" s="43" t="s">
        <v>796</v>
      </c>
      <c r="C25" s="5032">
        <f>+'Phụ lục 7-HĐND'!L24</f>
        <v>1850</v>
      </c>
    </row>
    <row r="26" spans="1:3">
      <c r="A26" s="5027">
        <v>6</v>
      </c>
      <c r="B26" s="701" t="s">
        <v>24</v>
      </c>
      <c r="C26" s="5028">
        <f>SUM(C27:C28)</f>
        <v>1000</v>
      </c>
    </row>
    <row r="27" spans="1:3">
      <c r="A27" s="5034" t="s">
        <v>29</v>
      </c>
      <c r="B27" s="43" t="s">
        <v>790</v>
      </c>
      <c r="C27" s="5032">
        <f>+'Phụ lục 7-HĐND'!L26</f>
        <v>0</v>
      </c>
    </row>
    <row r="28" spans="1:3">
      <c r="A28" s="5035" t="s">
        <v>29</v>
      </c>
      <c r="B28" s="711" t="s">
        <v>1809</v>
      </c>
      <c r="C28" s="5032">
        <f>+'Phụ lục 7-HĐND'!L27</f>
        <v>1000</v>
      </c>
    </row>
    <row r="29" spans="1:3">
      <c r="A29" s="5027">
        <v>7</v>
      </c>
      <c r="B29" s="701" t="s">
        <v>242</v>
      </c>
      <c r="C29" s="5028">
        <f>SUM(C30:C31)</f>
        <v>30000</v>
      </c>
    </row>
    <row r="30" spans="1:3">
      <c r="A30" s="5034" t="s">
        <v>29</v>
      </c>
      <c r="B30" s="43" t="s">
        <v>790</v>
      </c>
      <c r="C30" s="5032">
        <f>+'Phụ lục 7-HĐND'!L29</f>
        <v>0</v>
      </c>
    </row>
    <row r="31" spans="1:3">
      <c r="A31" s="5035" t="s">
        <v>29</v>
      </c>
      <c r="B31" s="711" t="s">
        <v>1810</v>
      </c>
      <c r="C31" s="5032">
        <f>+'Phụ lục 7-HĐND'!L30</f>
        <v>30000</v>
      </c>
    </row>
    <row r="32" spans="1:3">
      <c r="A32" s="5027">
        <v>8</v>
      </c>
      <c r="B32" s="701" t="s">
        <v>798</v>
      </c>
      <c r="C32" s="5028">
        <f>SUM(C33:C35)</f>
        <v>10000</v>
      </c>
    </row>
    <row r="33" spans="1:3">
      <c r="A33" s="5034" t="s">
        <v>29</v>
      </c>
      <c r="B33" s="43" t="s">
        <v>799</v>
      </c>
      <c r="C33" s="5032">
        <f>+'Phụ lục 7-HĐND'!L32</f>
        <v>500</v>
      </c>
    </row>
    <row r="34" spans="1:3">
      <c r="A34" s="5034" t="s">
        <v>29</v>
      </c>
      <c r="B34" s="43" t="s">
        <v>800</v>
      </c>
      <c r="C34" s="5032">
        <f>+'Phụ lục 7-HĐND'!L33</f>
        <v>500</v>
      </c>
    </row>
    <row r="35" spans="1:3">
      <c r="A35" s="5034" t="s">
        <v>29</v>
      </c>
      <c r="B35" s="43" t="s">
        <v>801</v>
      </c>
      <c r="C35" s="5032">
        <f>+'Phụ lục 7-HĐND'!L34</f>
        <v>9000</v>
      </c>
    </row>
    <row r="36" spans="1:3">
      <c r="A36" s="5027">
        <v>9</v>
      </c>
      <c r="B36" s="5036" t="s">
        <v>1811</v>
      </c>
      <c r="C36" s="5028">
        <f>+'Phụ lục 7-HĐND'!L35</f>
        <v>0</v>
      </c>
    </row>
    <row r="37" spans="1:3">
      <c r="A37" s="5027" t="s">
        <v>33</v>
      </c>
      <c r="B37" s="701" t="s">
        <v>1812</v>
      </c>
      <c r="C37" s="5037"/>
    </row>
    <row r="38" spans="1:3">
      <c r="A38" s="5027"/>
      <c r="B38" s="704" t="s">
        <v>1813</v>
      </c>
      <c r="C38" s="5038">
        <v>1</v>
      </c>
    </row>
    <row r="39" spans="1:3" s="596" customFormat="1">
      <c r="A39" s="4971" t="s">
        <v>182</v>
      </c>
      <c r="B39" s="4972" t="s">
        <v>802</v>
      </c>
      <c r="C39" s="613">
        <f>SUM(C40:C42)</f>
        <v>578186.21900000004</v>
      </c>
    </row>
    <row r="40" spans="1:3" s="596" customFormat="1">
      <c r="A40" s="1926">
        <v>1</v>
      </c>
      <c r="B40" s="4968" t="s">
        <v>803</v>
      </c>
      <c r="C40" s="2608">
        <f>+'Phụ lục 7-HĐND'!L37</f>
        <v>391207</v>
      </c>
    </row>
    <row r="41" spans="1:3" s="596" customFormat="1">
      <c r="A41" s="1926">
        <v>2</v>
      </c>
      <c r="B41" s="1927" t="s">
        <v>3136</v>
      </c>
      <c r="C41" s="2608">
        <f>+'Phụ lục 7-HĐND'!L38</f>
        <v>114393</v>
      </c>
    </row>
    <row r="42" spans="1:3" s="596" customFormat="1">
      <c r="A42" s="1926">
        <v>3</v>
      </c>
      <c r="B42" s="4968" t="s">
        <v>3206</v>
      </c>
      <c r="C42" s="2608">
        <f>+'Phụ lục 7-HĐND'!L39</f>
        <v>72586.218999999997</v>
      </c>
    </row>
    <row r="43" spans="1:3" ht="18.600000000000001" thickBot="1">
      <c r="A43" s="4539" t="s">
        <v>215</v>
      </c>
      <c r="B43" s="5042" t="s">
        <v>1721</v>
      </c>
      <c r="C43" s="5060">
        <f>+'Phụ lục 7-HĐND'!L40</f>
        <v>36240</v>
      </c>
    </row>
    <row r="44" spans="1:3" ht="18.600000000000001" thickTop="1">
      <c r="A44" s="2914"/>
      <c r="B44" s="2914" t="s">
        <v>809</v>
      </c>
      <c r="C44" s="2915"/>
    </row>
    <row r="46" spans="1:3">
      <c r="A46" s="6746" t="s">
        <v>1717</v>
      </c>
      <c r="B46" s="6746"/>
      <c r="C46" s="6746"/>
    </row>
    <row r="47" spans="1:3" ht="41.25" customHeight="1">
      <c r="A47" s="6759" t="str">
        <f>+'TP.  HỒNG NGỰ'!A47:C47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14.75" customHeight="1">
      <c r="A48" s="6761"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283" t="str">
        <f>+'TP.  HỒNG NGỰ'!A61:C61</f>
        <v>PHỤ LỤC II</v>
      </c>
      <c r="B64" s="6283"/>
      <c r="C64" s="6283"/>
    </row>
    <row r="65" spans="1:3">
      <c r="A65" s="6283" t="str">
        <f>+'TP.  HỒNG NGỰ'!A62:C62</f>
        <v>NHIỆM VỤ CHI NGÂN SÁCH HUYỆN, THÀNH PHỐ NĂM 2025</v>
      </c>
      <c r="B65" s="6283"/>
      <c r="C65" s="6283"/>
    </row>
    <row r="66" spans="1:3">
      <c r="A66" s="6283" t="str">
        <f>A3</f>
        <v>HUYỆN TÂN HỒNG</v>
      </c>
      <c r="B66" s="6283"/>
      <c r="C66" s="6283"/>
    </row>
    <row r="67" spans="1:3">
      <c r="A67" s="6500" t="str">
        <f>A4</f>
        <v>(Kèm theo Quyết định số        /QĐ-UBND-HC ngày      /12/2024 của Uỷ ban nhân dân tỉnh Đồng Tháp)</v>
      </c>
      <c r="B67" s="6500"/>
      <c r="C67" s="6500"/>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'[2]TP. HỒNG NGỰ'!B64</f>
        <v>Nội dung</v>
      </c>
      <c r="C70" s="4543" t="str">
        <f>+C7</f>
        <v>Dự toán năm 2025</v>
      </c>
    </row>
    <row r="71" spans="1:3">
      <c r="A71" s="5049"/>
      <c r="B71" s="693" t="str">
        <f>'[2]TP. HỒNG NGỰ'!B65</f>
        <v>Tổng chi (I+II+III+IV)</v>
      </c>
      <c r="C71" s="5024">
        <f>C72+C76+C80+C81+C82</f>
        <v>713376.21900000004</v>
      </c>
    </row>
    <row r="72" spans="1:3">
      <c r="A72" s="5050" t="s">
        <v>3</v>
      </c>
      <c r="B72" s="2910" t="str">
        <f>'[2]TP. HỒNG NGỰ'!B66</f>
        <v>Chi đầu tư phát triển (1)</v>
      </c>
      <c r="C72" s="5028">
        <f>SUM(C74:C75)</f>
        <v>59000</v>
      </c>
    </row>
    <row r="73" spans="1:3">
      <c r="A73" s="5051"/>
      <c r="B73" s="2916" t="str">
        <f>'[2]TP. HỒNG NGỰ'!B67</f>
        <v>Bao gồm:</v>
      </c>
      <c r="C73" s="5032"/>
    </row>
    <row r="74" spans="1:3">
      <c r="A74" s="5052">
        <v>1</v>
      </c>
      <c r="B74" s="2917" t="str">
        <f>'[2]TP. HỒNG NGỰ'!B68</f>
        <v>Chi đầu tư xây dựng cơ bản</v>
      </c>
      <c r="C74" s="5032">
        <f>+'Phụ lục 8-HĐND'!F9</f>
        <v>32000</v>
      </c>
    </row>
    <row r="75" spans="1:3">
      <c r="A75" s="5052">
        <v>2</v>
      </c>
      <c r="B75" s="2917" t="str">
        <f>'[2]TP. HỒNG NGỰ'!B69</f>
        <v>Chi đầu tư từ nguồn thu tiền sử dụng đất</v>
      </c>
      <c r="C75" s="5032">
        <f>+'Phụ lục 8-HĐND'!F10</f>
        <v>27000</v>
      </c>
    </row>
    <row r="76" spans="1:3" s="386" customFormat="1" ht="17.399999999999999">
      <c r="A76" s="5050" t="s">
        <v>33</v>
      </c>
      <c r="B76" s="2910" t="str">
        <f>'[2]TP. HỒNG NGỰ'!B70</f>
        <v>Chi thường xuyên (2)</v>
      </c>
      <c r="C76" s="5028">
        <f>+'Phụ lục 8-HĐND'!F11</f>
        <v>621134.09320536687</v>
      </c>
    </row>
    <row r="77" spans="1:3">
      <c r="A77" s="5053"/>
      <c r="B77" s="2907" t="str">
        <f>'[2]TP. HỒNG NGỰ'!B71</f>
        <v>Bao gồm:</v>
      </c>
      <c r="C77" s="5032"/>
    </row>
    <row r="78" spans="1:3">
      <c r="A78" s="5052">
        <v>1</v>
      </c>
      <c r="B78" s="2909" t="str">
        <f>'[2]TP. HỒNG NGỰ'!B72</f>
        <v>Sự nghiệp giáo dục - đào tạo (3)</v>
      </c>
      <c r="C78" s="5032">
        <f>+'Phụ lục 8-HĐND'!F13</f>
        <v>354771.20000000001</v>
      </c>
    </row>
    <row r="79" spans="1:3">
      <c r="A79" s="5052">
        <v>2</v>
      </c>
      <c r="B79" s="2909" t="str">
        <f>'[2]TP. HỒNG NGỰ'!B73</f>
        <v>Các khoản chi thường xuyên còn lại</v>
      </c>
      <c r="C79" s="5032">
        <f>+'Phụ lục 8-HĐND'!F14</f>
        <v>266362.89320536685</v>
      </c>
    </row>
    <row r="80" spans="1:3" s="386" customFormat="1" ht="17.399999999999999">
      <c r="A80" s="5050" t="s">
        <v>182</v>
      </c>
      <c r="B80" s="2910" t="str">
        <f>'[2]TP. HỒNG NGỰ'!B74</f>
        <v>Dự phòng ngân sách</v>
      </c>
      <c r="C80" s="5028">
        <f>+'Phụ lục 8-HĐND'!F15</f>
        <v>12842.4</v>
      </c>
    </row>
    <row r="81" spans="1:3" s="386" customFormat="1" ht="17.399999999999999">
      <c r="A81" s="5050" t="s">
        <v>215</v>
      </c>
      <c r="B81" s="2910" t="str">
        <f>'[2]TP. HỒNG NGỰ'!B75</f>
        <v>Chi tạo nguồn cải cách tiền lương</v>
      </c>
      <c r="C81" s="5028">
        <f>+'Phụ lục 8-HĐND'!F16</f>
        <v>0</v>
      </c>
    </row>
    <row r="82" spans="1:3" s="386" customFormat="1" ht="17.399999999999999">
      <c r="A82" s="5073" t="s">
        <v>718</v>
      </c>
      <c r="B82" s="701" t="str">
        <f>'[2]TP. HỒNG NGỰ'!B76</f>
        <v>Chi từ nguồn ngân sách cấp Tỉnh bổ sung có mục tiêu</v>
      </c>
      <c r="C82" s="5028">
        <f>SUM(C83:C87)</f>
        <v>20399.725794633185</v>
      </c>
    </row>
    <row r="83" spans="1:3">
      <c r="A83" s="5055" t="s">
        <v>29</v>
      </c>
      <c r="B83" s="704" t="str">
        <f>+'TP.  HỒNG NGỰ'!B80</f>
        <v>Chi đầu tư xây dựng cơ bản</v>
      </c>
      <c r="C83" s="5032">
        <f>+'Phụ lục 8-HĐND'!F18</f>
        <v>0</v>
      </c>
    </row>
    <row r="84" spans="1:3">
      <c r="A84" s="5055" t="s">
        <v>29</v>
      </c>
      <c r="B84" s="704" t="str">
        <f>+'TP.  HỒNG NGỰ'!B81</f>
        <v>Chi đầu tư từ nguồn xổ số kiến thiết</v>
      </c>
      <c r="C84" s="5032">
        <f>+'Phụ lục 8-HĐND'!F19</f>
        <v>0</v>
      </c>
    </row>
    <row r="85" spans="1:3">
      <c r="A85" s="5055" t="s">
        <v>29</v>
      </c>
      <c r="B85" s="704" t="str">
        <f>+'TP.  HỒNG NGỰ'!B82</f>
        <v>Chi từ nguồn ngân sách trung ương bổ sung có mục tiêu (kinh phí biên chế giáo viên tăng thêm)</v>
      </c>
      <c r="C85" s="5032">
        <f>+'Phụ lục 8-HĐND'!F20</f>
        <v>964</v>
      </c>
    </row>
    <row r="86" spans="1:3">
      <c r="A86" s="5056" t="s">
        <v>29</v>
      </c>
      <c r="B86" s="704" t="str">
        <f>+'TP.  HỒNG NGỰ'!B83</f>
        <v>Chi từ nguồn ngân sách trung ương bổ sung có mục tiêu (kinh phí hỗ trợ địa phương sản xuất lúa năm 2025)</v>
      </c>
      <c r="C86" s="5032">
        <f>+'Phụ lục 8-HĐND'!F21</f>
        <v>9000</v>
      </c>
    </row>
    <row r="87" spans="1:3" ht="18.600000000000001" thickBot="1">
      <c r="A87" s="5057"/>
      <c r="B87" s="5058" t="str">
        <f>+'TP.  HỒNG NGỰ'!B84</f>
        <v>Chi từ nguồn ngân sách trung ương bổ sung có mục tiêu (chính sách an sinh xã hội năm 2025)</v>
      </c>
      <c r="C87" s="5059">
        <f>+'Phụ lục 8-HĐND'!F22</f>
        <v>10435.725794633185</v>
      </c>
    </row>
    <row r="88" spans="1:3" ht="18.600000000000001" thickTop="1"/>
    <row r="89" spans="1:3">
      <c r="A89" s="588" t="s">
        <v>1717</v>
      </c>
      <c r="B89" s="2903"/>
    </row>
    <row r="90" spans="1:3" s="2705" customFormat="1">
      <c r="A90" s="6769" t="s">
        <v>1831</v>
      </c>
      <c r="B90" s="6770"/>
      <c r="C90" s="6770"/>
    </row>
    <row r="91" spans="1:3" s="2705" customFormat="1">
      <c r="A91" s="6774"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71"/>
      <c r="C91" s="6771"/>
    </row>
    <row r="92" spans="1:3" s="2705" customFormat="1">
      <c r="A92" s="6771" t="str">
        <f>+'TP.  HỒNG NGỰ'!A89:C89</f>
        <v>- Chưa bao gồm chi đầu tư từ nguồn vốn do ngân sách cấp tỉnh quản lý và phân bổ bổ sung có mục tiêu cho ngân sách huyện, thành phố</v>
      </c>
      <c r="B92" s="6771"/>
      <c r="C92" s="6771"/>
    </row>
    <row r="93" spans="1:3">
      <c r="A93" s="6766" t="s">
        <v>1829</v>
      </c>
      <c r="B93" s="6766"/>
      <c r="C93" s="6766"/>
    </row>
    <row r="94" spans="1:3" ht="60" customHeight="1">
      <c r="A94" s="6771"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71"/>
      <c r="C94" s="6771"/>
    </row>
    <row r="95" spans="1:3" s="596" customFormat="1" ht="38.25" customHeight="1">
      <c r="A95" s="6772"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2"/>
      <c r="C95" s="6772"/>
    </row>
    <row r="96" spans="1:3">
      <c r="A96" s="381" t="str">
        <f>+'TP.  HỒNG NGỰ'!A93</f>
        <v xml:space="preserve">- Bao gồm 10% tiết kiệm tăng thêm năm 2025 so với năm 2024 để thực hiện cải cách tiền lương năm 2025 là: </v>
      </c>
      <c r="B96" s="2919"/>
      <c r="C96" s="2912" t="s">
        <v>1830</v>
      </c>
    </row>
    <row r="97" spans="1:3" s="2920" customFormat="1" ht="17.399999999999999">
      <c r="A97" s="6773" t="str">
        <f>'[2]TP. HỒNG NGỰ'!A91:C91</f>
        <v>(3): Trong đó:</v>
      </c>
      <c r="B97" s="6773"/>
      <c r="C97" s="6773"/>
    </row>
    <row r="98" spans="1:3" s="2921" customFormat="1">
      <c r="A98" s="6771"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71"/>
      <c r="C98" s="6771"/>
    </row>
    <row r="127" spans="1:3">
      <c r="A127" s="6283" t="str">
        <f>+'TP.  HỒNG NGỰ'!A118:C118</f>
        <v>PHỤ LỤC III</v>
      </c>
      <c r="B127" s="6283"/>
      <c r="C127" s="6283"/>
    </row>
    <row r="128" spans="1:3">
      <c r="A128" s="6283" t="str">
        <f>+'TP.  HỒNG NGỰ'!A119:C119</f>
        <v>CHI TỪ NGUỒN NGÂN SÁCH CẤP TỈNH BỔ SUNG CÓ MỤC TIÊU NĂM 2025</v>
      </c>
      <c r="B128" s="6283"/>
      <c r="C128" s="6283"/>
    </row>
    <row r="129" spans="1:5">
      <c r="A129" s="6283" t="str">
        <f>A66</f>
        <v>HUYỆN TÂN HỒNG</v>
      </c>
      <c r="B129" s="6283"/>
      <c r="C129" s="6283"/>
    </row>
    <row r="130" spans="1:5">
      <c r="A130" s="6498" t="str">
        <f>+A4</f>
        <v>(Kèm theo Quyết định số        /QĐ-UBND-HC ngày      /12/2024 của Uỷ ban nhân dân tỉnh Đồng Tháp)</v>
      </c>
      <c r="B130" s="6498"/>
      <c r="C130" s="6498"/>
    </row>
    <row r="132" spans="1:5" ht="18.600000000000001" thickBot="1">
      <c r="A132" s="2899"/>
      <c r="B132" s="2899"/>
      <c r="C132" s="2883" t="str">
        <f>C69</f>
        <v>Đơn vị tính: Triệu đồng</v>
      </c>
    </row>
    <row r="133" spans="1:5" ht="35.4" thickTop="1">
      <c r="A133" s="5014" t="s">
        <v>136</v>
      </c>
      <c r="B133" s="4862" t="s">
        <v>137</v>
      </c>
      <c r="C133" s="4861" t="str">
        <f>+C70</f>
        <v>Dự toán năm 2025</v>
      </c>
    </row>
    <row r="134" spans="1:5">
      <c r="A134" s="5015"/>
      <c r="B134" s="682" t="s">
        <v>3196</v>
      </c>
      <c r="C134" s="5016">
        <f>SUM(C135:C146)</f>
        <v>72586.219000000012</v>
      </c>
      <c r="E134" s="667">
        <f>+C42-C134</f>
        <v>0</v>
      </c>
    </row>
    <row r="135" spans="1:5" ht="36">
      <c r="A135" s="593">
        <v>1</v>
      </c>
      <c r="B135" s="5022" t="s">
        <v>805</v>
      </c>
      <c r="C135" s="4538">
        <f>+'Phụ lục số 8.1'!AF14</f>
        <v>21220.17</v>
      </c>
    </row>
    <row r="136" spans="1:5">
      <c r="A136" s="593">
        <v>2</v>
      </c>
      <c r="B136" s="5022" t="str">
        <f>+'TP.  HỒNG NGỰ'!B127</f>
        <v>Kinh phí hỗ trợ địa phương sản xuất lúa</v>
      </c>
      <c r="C136" s="4538">
        <f>+'Phụ lục số 8.1'!AF15</f>
        <v>28000</v>
      </c>
    </row>
    <row r="137" spans="1:5">
      <c r="A137" s="593">
        <v>3</v>
      </c>
      <c r="B137" s="5022" t="str">
        <f>+'TP.  HỒNG NGỰ'!B128</f>
        <v>Kinh phí biên chế giáo viên tăng thêm</v>
      </c>
      <c r="C137" s="4538">
        <f>+'Phụ lục số 8.1'!AF18</f>
        <v>964</v>
      </c>
    </row>
    <row r="138" spans="1:5" ht="36">
      <c r="A138" s="593">
        <v>4</v>
      </c>
      <c r="B138" s="2525" t="s">
        <v>1608</v>
      </c>
      <c r="C138" s="4538">
        <f>+'Phụ lục số 8.3-CĐCS'!BE13</f>
        <v>1482</v>
      </c>
    </row>
    <row r="139" spans="1:5">
      <c r="A139" s="593">
        <v>5</v>
      </c>
      <c r="B139" s="2525" t="s">
        <v>3197</v>
      </c>
      <c r="C139" s="4538">
        <f>+'Phụ lục số 8.3-CĐCS'!BE14</f>
        <v>204.2</v>
      </c>
    </row>
    <row r="140" spans="1:5" ht="36">
      <c r="A140" s="593">
        <v>6</v>
      </c>
      <c r="B140" s="2525" t="s">
        <v>3198</v>
      </c>
      <c r="C140" s="4538">
        <f>+'Phụ lục số 8.3-CĐCS'!BE15</f>
        <v>675.62400000000002</v>
      </c>
    </row>
    <row r="141" spans="1:5" ht="36">
      <c r="A141" s="593">
        <v>7</v>
      </c>
      <c r="B141" s="2525" t="s">
        <v>3199</v>
      </c>
      <c r="C141" s="5018">
        <f>+'Phụ lục số 8.3-CĐCS'!BE17+'Phụ lục số 8.3-CĐCS'!BE18</f>
        <v>16996</v>
      </c>
    </row>
    <row r="142" spans="1:5" ht="36">
      <c r="A142" s="593">
        <v>8</v>
      </c>
      <c r="B142" s="2525" t="s">
        <v>1093</v>
      </c>
      <c r="C142" s="5017">
        <v>0</v>
      </c>
    </row>
    <row r="143" spans="1:5" ht="36">
      <c r="A143" s="593">
        <v>9</v>
      </c>
      <c r="B143" s="5012" t="s">
        <v>3156</v>
      </c>
      <c r="C143" s="5018">
        <f>+'Phụ lục số 8.1'!AF20</f>
        <v>617.46</v>
      </c>
    </row>
    <row r="144" spans="1:5">
      <c r="A144" s="593">
        <v>10</v>
      </c>
      <c r="B144" s="5013" t="s">
        <v>1510</v>
      </c>
      <c r="C144" s="5018">
        <f>+'Phụ lục số 8.1'!AF22</f>
        <v>0</v>
      </c>
    </row>
    <row r="145" spans="1:3">
      <c r="A145" s="593">
        <v>11</v>
      </c>
      <c r="B145" s="5013" t="str">
        <f>+'TP.  HỒNG NGỰ'!B136</f>
        <v>Kinh phí thực hiện hỗ trợ đào tạo nghề trình độ sơ cấp và đào tạo dưới 03 tháng năm 2025</v>
      </c>
      <c r="C145" s="5018"/>
    </row>
    <row r="146" spans="1:3" ht="18.600000000000001" thickBot="1">
      <c r="A146" s="5019">
        <v>12</v>
      </c>
      <c r="B146" s="5192" t="str">
        <f>+'TP.  HỒNG NGỰ'!B137</f>
        <v>Kinh phí tổ chức đại hội Đảng nhiệm kỳ 2025 - 2030</v>
      </c>
      <c r="C146" s="5021">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+'H. TÂN HỒNG'!A1:C1</f>
        <v>PHỤ LỤC I</v>
      </c>
      <c r="B1" s="6283"/>
      <c r="C1" s="6283"/>
    </row>
    <row r="2" spans="1:3">
      <c r="A2" s="6283" t="str">
        <f>+'H. TÂN HỒNG'!A2:C2</f>
        <v>NHIỆM VỤ THU NGÂN SÁCH NHÀ NƯỚC NĂM 2025</v>
      </c>
      <c r="B2" s="6283"/>
      <c r="C2" s="6283"/>
    </row>
    <row r="3" spans="1:3">
      <c r="A3" s="6283" t="s">
        <v>1490</v>
      </c>
      <c r="B3" s="6283"/>
      <c r="C3" s="6283"/>
    </row>
    <row r="4" spans="1:3">
      <c r="A4" s="6500" t="str">
        <f>+'H. TÂN HỒNG'!A4:C4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155200</v>
      </c>
    </row>
    <row r="9" spans="1:3">
      <c r="A9" s="5025"/>
      <c r="B9" s="697" t="s">
        <v>784</v>
      </c>
      <c r="C9" s="5026">
        <f>C8-C29</f>
        <v>95200</v>
      </c>
    </row>
    <row r="10" spans="1:3">
      <c r="A10" s="5027">
        <v>1</v>
      </c>
      <c r="B10" s="701" t="s">
        <v>1477</v>
      </c>
      <c r="C10" s="5028">
        <f>SUM(C11:C15)</f>
        <v>30500</v>
      </c>
    </row>
    <row r="11" spans="1:3">
      <c r="A11" s="5029" t="s">
        <v>29</v>
      </c>
      <c r="B11" s="704" t="s">
        <v>786</v>
      </c>
      <c r="C11" s="5032">
        <f>+'Phụ lục 7-HĐND'!O10</f>
        <v>21800</v>
      </c>
    </row>
    <row r="12" spans="1:3">
      <c r="A12" s="5029" t="s">
        <v>29</v>
      </c>
      <c r="B12" s="704" t="s">
        <v>787</v>
      </c>
      <c r="C12" s="5032">
        <f>+'Phụ lục 7-HĐND'!O11</f>
        <v>8000</v>
      </c>
    </row>
    <row r="13" spans="1:3">
      <c r="A13" s="5029" t="s">
        <v>29</v>
      </c>
      <c r="B13" s="704" t="s">
        <v>788</v>
      </c>
      <c r="C13" s="5032">
        <f>+'Phụ lục 7-HĐND'!O12</f>
        <v>200</v>
      </c>
    </row>
    <row r="14" spans="1:3">
      <c r="A14" s="5029" t="s">
        <v>29</v>
      </c>
      <c r="B14" s="704" t="s">
        <v>10</v>
      </c>
      <c r="C14" s="5032">
        <f>+'Phụ lục 7-HĐND'!O13</f>
        <v>500</v>
      </c>
    </row>
    <row r="15" spans="1:3">
      <c r="A15" s="5029" t="s">
        <v>29</v>
      </c>
      <c r="B15" s="704" t="s">
        <v>789</v>
      </c>
      <c r="C15" s="5032">
        <f>+'Phụ lục 7-HĐND'!O14</f>
        <v>0</v>
      </c>
    </row>
    <row r="16" spans="1:3">
      <c r="A16" s="5027">
        <v>2</v>
      </c>
      <c r="B16" s="701" t="s">
        <v>20</v>
      </c>
      <c r="C16" s="5028">
        <f>SUM(C17:C18)</f>
        <v>18000</v>
      </c>
    </row>
    <row r="17" spans="1:3" hidden="1">
      <c r="A17" s="5031" t="s">
        <v>29</v>
      </c>
      <c r="B17" s="43" t="s">
        <v>790</v>
      </c>
      <c r="C17" s="5032">
        <f>+'Phụ lục 7-HĐND'!O16</f>
        <v>0</v>
      </c>
    </row>
    <row r="18" spans="1:3" hidden="1">
      <c r="A18" s="5033" t="s">
        <v>29</v>
      </c>
      <c r="B18" s="711" t="s">
        <v>791</v>
      </c>
      <c r="C18" s="5032">
        <f>+'Phụ lục 7-HĐND'!O17</f>
        <v>18000</v>
      </c>
    </row>
    <row r="19" spans="1:3">
      <c r="A19" s="5027">
        <v>3</v>
      </c>
      <c r="B19" s="701" t="s">
        <v>17</v>
      </c>
      <c r="C19" s="5028">
        <f>+'Phụ lục 7-HĐND'!O18</f>
        <v>18000</v>
      </c>
    </row>
    <row r="20" spans="1:3">
      <c r="A20" s="5027">
        <v>4</v>
      </c>
      <c r="B20" s="701" t="s">
        <v>792</v>
      </c>
      <c r="C20" s="5028">
        <f>+'Phụ lục 7-HĐND'!O19</f>
        <v>0</v>
      </c>
    </row>
    <row r="21" spans="1:3">
      <c r="A21" s="5027">
        <v>4</v>
      </c>
      <c r="B21" s="701" t="s">
        <v>97</v>
      </c>
      <c r="C21" s="5028">
        <f>+'Phụ lục 7-HĐND'!O20</f>
        <v>200</v>
      </c>
    </row>
    <row r="22" spans="1:3">
      <c r="A22" s="5027">
        <v>5</v>
      </c>
      <c r="B22" s="701" t="s">
        <v>793</v>
      </c>
      <c r="C22" s="5028">
        <f>SUM(C23:C25)</f>
        <v>4500</v>
      </c>
    </row>
    <row r="23" spans="1:3">
      <c r="A23" s="5034" t="s">
        <v>29</v>
      </c>
      <c r="B23" s="43" t="s">
        <v>794</v>
      </c>
      <c r="C23" s="5032">
        <f>+'Phụ lục 7-HĐND'!O22</f>
        <v>2000</v>
      </c>
    </row>
    <row r="24" spans="1:3">
      <c r="A24" s="5034" t="s">
        <v>29</v>
      </c>
      <c r="B24" s="43" t="s">
        <v>795</v>
      </c>
      <c r="C24" s="5032">
        <f>+'Phụ lục 7-HĐND'!O23</f>
        <v>0</v>
      </c>
    </row>
    <row r="25" spans="1:3">
      <c r="A25" s="5034" t="s">
        <v>29</v>
      </c>
      <c r="B25" s="43" t="s">
        <v>796</v>
      </c>
      <c r="C25" s="5032">
        <f>+'Phụ lục 7-HĐND'!O24</f>
        <v>2500</v>
      </c>
    </row>
    <row r="26" spans="1:3">
      <c r="A26" s="5027">
        <v>6</v>
      </c>
      <c r="B26" s="701" t="s">
        <v>24</v>
      </c>
      <c r="C26" s="5028">
        <f>SUM(C27:C28)</f>
        <v>2000</v>
      </c>
    </row>
    <row r="27" spans="1:3">
      <c r="A27" s="5034" t="s">
        <v>29</v>
      </c>
      <c r="B27" s="43" t="s">
        <v>790</v>
      </c>
      <c r="C27" s="5032">
        <f>+'Phụ lục 7-HĐND'!O26</f>
        <v>0</v>
      </c>
    </row>
    <row r="28" spans="1:3">
      <c r="A28" s="5035" t="s">
        <v>29</v>
      </c>
      <c r="B28" s="711" t="s">
        <v>1809</v>
      </c>
      <c r="C28" s="5032">
        <f>+'Phụ lục 7-HĐND'!O27</f>
        <v>2000</v>
      </c>
    </row>
    <row r="29" spans="1:3">
      <c r="A29" s="5027">
        <v>7</v>
      </c>
      <c r="B29" s="701" t="s">
        <v>242</v>
      </c>
      <c r="C29" s="5028">
        <f>SUM(C30:C31)</f>
        <v>60000</v>
      </c>
    </row>
    <row r="30" spans="1:3">
      <c r="A30" s="5034" t="s">
        <v>29</v>
      </c>
      <c r="B30" s="43" t="s">
        <v>790</v>
      </c>
      <c r="C30" s="5032">
        <f>+'Phụ lục 7-HĐND'!O29</f>
        <v>0</v>
      </c>
    </row>
    <row r="31" spans="1:3">
      <c r="A31" s="5035" t="s">
        <v>29</v>
      </c>
      <c r="B31" s="711" t="s">
        <v>1810</v>
      </c>
      <c r="C31" s="5032">
        <f>+'Phụ lục 7-HĐND'!O30</f>
        <v>60000</v>
      </c>
    </row>
    <row r="32" spans="1:3">
      <c r="A32" s="5027">
        <v>8</v>
      </c>
      <c r="B32" s="701" t="s">
        <v>798</v>
      </c>
      <c r="C32" s="5028">
        <f>SUM(C33:C35)</f>
        <v>22000</v>
      </c>
    </row>
    <row r="33" spans="1:3">
      <c r="A33" s="5034" t="s">
        <v>29</v>
      </c>
      <c r="B33" s="43" t="s">
        <v>799</v>
      </c>
      <c r="C33" s="5032">
        <f>+'Phụ lục 7-HĐND'!O32</f>
        <v>4000</v>
      </c>
    </row>
    <row r="34" spans="1:3">
      <c r="A34" s="5034" t="s">
        <v>29</v>
      </c>
      <c r="B34" s="43" t="s">
        <v>800</v>
      </c>
      <c r="C34" s="5032">
        <f>+'Phụ lục 7-HĐND'!O33</f>
        <v>5000</v>
      </c>
    </row>
    <row r="35" spans="1:3">
      <c r="A35" s="5034" t="s">
        <v>29</v>
      </c>
      <c r="B35" s="43" t="s">
        <v>801</v>
      </c>
      <c r="C35" s="5032">
        <f>+'Phụ lục 7-HĐND'!O34</f>
        <v>13000</v>
      </c>
    </row>
    <row r="36" spans="1:3">
      <c r="A36" s="5027">
        <v>9</v>
      </c>
      <c r="B36" s="5036" t="s">
        <v>1811</v>
      </c>
      <c r="C36" s="5028">
        <f>+'Phụ lục 7-HĐND'!O35</f>
        <v>0</v>
      </c>
    </row>
    <row r="37" spans="1:3">
      <c r="A37" s="5027" t="s">
        <v>33</v>
      </c>
      <c r="B37" s="701" t="s">
        <v>1812</v>
      </c>
      <c r="C37" s="5037"/>
    </row>
    <row r="38" spans="1:3">
      <c r="A38" s="5027"/>
      <c r="B38" s="704" t="s">
        <v>1813</v>
      </c>
      <c r="C38" s="5038">
        <v>1</v>
      </c>
    </row>
    <row r="39" spans="1:3" s="596" customFormat="1">
      <c r="A39" s="4971" t="s">
        <v>182</v>
      </c>
      <c r="B39" s="4972" t="s">
        <v>802</v>
      </c>
      <c r="C39" s="613">
        <f>SUM(C40:C42)</f>
        <v>624717.45200000005</v>
      </c>
    </row>
    <row r="40" spans="1:3" s="596" customFormat="1">
      <c r="A40" s="1926">
        <v>1</v>
      </c>
      <c r="B40" s="4968" t="s">
        <v>803</v>
      </c>
      <c r="C40" s="2608">
        <f>+'Phụ lục 7-HĐND'!O37</f>
        <v>388772</v>
      </c>
    </row>
    <row r="41" spans="1:3" s="596" customFormat="1">
      <c r="A41" s="1926">
        <v>2</v>
      </c>
      <c r="B41" s="1927" t="s">
        <v>3136</v>
      </c>
      <c r="C41" s="2608">
        <f>+'Phụ lục 7-HĐND'!O38</f>
        <v>152060</v>
      </c>
    </row>
    <row r="42" spans="1:3" s="596" customFormat="1">
      <c r="A42" s="1926">
        <v>3</v>
      </c>
      <c r="B42" s="4968" t="s">
        <v>3206</v>
      </c>
      <c r="C42" s="2608">
        <f>+'Phụ lục 7-HĐND'!O39</f>
        <v>83885.45199999999</v>
      </c>
    </row>
    <row r="43" spans="1:3" s="596" customFormat="1" ht="18.600000000000001" thickBot="1">
      <c r="A43" s="4539" t="s">
        <v>215</v>
      </c>
      <c r="B43" s="5042" t="s">
        <v>1721</v>
      </c>
      <c r="C43" s="5060">
        <f>+'Phụ lục 7-HĐND'!O40</f>
        <v>16410</v>
      </c>
    </row>
    <row r="44" spans="1:3" ht="18.600000000000001" thickTop="1">
      <c r="A44" s="2914"/>
      <c r="B44" s="2914" t="s">
        <v>809</v>
      </c>
      <c r="C44" s="2915"/>
    </row>
    <row r="46" spans="1:3">
      <c r="A46" s="6746" t="s">
        <v>1717</v>
      </c>
      <c r="B46" s="6746"/>
      <c r="C46" s="6746"/>
    </row>
    <row r="47" spans="1:3" ht="40.5" customHeight="1">
      <c r="A47" s="6775" t="str">
        <f>+'H. TÂN HỒNG'!A47:C47</f>
        <v xml:space="preserve">(1): Dự toán thu ngân sách nhà nước năm 2025 không bao gồm các khoản huy động nhân dân đóng góp, các khoản ghi thu, ghi chi vào ngân sách nhà nước theo chế độ quy định.
</v>
      </c>
      <c r="B47" s="6775"/>
      <c r="C47" s="6775"/>
    </row>
    <row r="48" spans="1:3" ht="102.75" customHeight="1">
      <c r="A48" s="6777"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77"/>
      <c r="C48" s="6777"/>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283" t="str">
        <f>+'H. TÂN HỒNG'!A64:C64</f>
        <v>PHỤ LỤC II</v>
      </c>
      <c r="B65" s="6283"/>
      <c r="C65" s="6283"/>
    </row>
    <row r="66" spans="1:3">
      <c r="A66" s="6283" t="str">
        <f>+'H. TÂN HỒNG'!A65:C65</f>
        <v>NHIỆM VỤ CHI NGÂN SÁCH HUYỆN, THÀNH PHỐ NĂM 2025</v>
      </c>
      <c r="B66" s="6283"/>
      <c r="C66" s="6283"/>
    </row>
    <row r="67" spans="1:3">
      <c r="A67" s="6283" t="str">
        <f>A3</f>
        <v>HUYỆN TAM NÔNG</v>
      </c>
      <c r="B67" s="6283"/>
      <c r="C67" s="6283"/>
    </row>
    <row r="68" spans="1:3">
      <c r="A68" s="6500" t="str">
        <f>A4</f>
        <v>(Kèm theo Quyết định số        /QĐ-UBND-HC ngày      /12/2024 của Uỷ ban nhân dân tỉnh Đồng Tháp)</v>
      </c>
      <c r="B68" s="6500"/>
      <c r="C68" s="6500"/>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TÂN HỒNG'!B64</f>
        <v>Nội dung</v>
      </c>
      <c r="C71" s="4543" t="str">
        <f>C7</f>
        <v>Dự toán năm 2025</v>
      </c>
    </row>
    <row r="72" spans="1:3" s="588" customFormat="1" ht="17.399999999999999">
      <c r="A72" s="5049"/>
      <c r="B72" s="693" t="str">
        <f>'[2]H. TÂN HỒNG'!B65</f>
        <v>Tổng chi (I+II+III+IV)</v>
      </c>
      <c r="C72" s="5024">
        <f>C73+C77+C81+C82+C83</f>
        <v>778427.45200000005</v>
      </c>
    </row>
    <row r="73" spans="1:3" s="588" customFormat="1" ht="17.399999999999999">
      <c r="A73" s="5050" t="s">
        <v>3</v>
      </c>
      <c r="B73" s="2910" t="str">
        <f>'[2]H. TÂN HỒNG'!B66</f>
        <v>Chi đầu tư phát triển (1)</v>
      </c>
      <c r="C73" s="5028">
        <f>C75+C76</f>
        <v>84000</v>
      </c>
    </row>
    <row r="74" spans="1:3">
      <c r="A74" s="5051"/>
      <c r="B74" s="2916" t="str">
        <f>'[2]H. TÂN HỒNG'!B67</f>
        <v>Bao gồm:</v>
      </c>
      <c r="C74" s="5032"/>
    </row>
    <row r="75" spans="1:3">
      <c r="A75" s="5052">
        <v>1</v>
      </c>
      <c r="B75" s="2917" t="str">
        <f>'[2]H. TÂN HỒNG'!B68</f>
        <v>Chi đầu tư xây dựng cơ bản</v>
      </c>
      <c r="C75" s="5032">
        <f>+'Phụ lục 8-HĐND'!G9</f>
        <v>30000</v>
      </c>
    </row>
    <row r="76" spans="1:3">
      <c r="A76" s="5052">
        <v>2</v>
      </c>
      <c r="B76" s="2917" t="str">
        <f>'[2]H. TÂN HỒNG'!B69</f>
        <v>Chi đầu tư từ nguồn thu tiền sử dụng đất</v>
      </c>
      <c r="C76" s="5032">
        <f>+'Phụ lục 8-HĐND'!G10</f>
        <v>54000</v>
      </c>
    </row>
    <row r="77" spans="1:3" s="588" customFormat="1" ht="17.399999999999999">
      <c r="A77" s="5050" t="s">
        <v>33</v>
      </c>
      <c r="B77" s="2910" t="str">
        <f>'[2]H. TÂN HỒNG'!B70</f>
        <v>Chi thường xuyên (2)</v>
      </c>
      <c r="C77" s="5028">
        <f>+'Phụ lục 8-HĐND'!G11</f>
        <v>660673.11116281548</v>
      </c>
    </row>
    <row r="78" spans="1:3">
      <c r="A78" s="5053"/>
      <c r="B78" s="2907" t="str">
        <f>'[2]H. TÂN HỒNG'!B71</f>
        <v>Bao gồm:</v>
      </c>
      <c r="C78" s="5032"/>
    </row>
    <row r="79" spans="1:3">
      <c r="A79" s="5052">
        <v>1</v>
      </c>
      <c r="B79" s="2909" t="str">
        <f>'[2]H. TÂN HỒNG'!B72</f>
        <v>Sự nghiệp giáo dục - đào tạo (3)</v>
      </c>
      <c r="C79" s="5032">
        <f>+'Phụ lục 8-HĐND'!G13</f>
        <v>331568</v>
      </c>
    </row>
    <row r="80" spans="1:3">
      <c r="A80" s="5052">
        <v>2</v>
      </c>
      <c r="B80" s="2909" t="str">
        <f>'[2]H. TÂN HỒNG'!B73</f>
        <v>Các khoản chi thường xuyên còn lại</v>
      </c>
      <c r="C80" s="5032">
        <f>+'Phụ lục 8-HĐND'!G14</f>
        <v>329105.11116281548</v>
      </c>
    </row>
    <row r="81" spans="1:3" s="588" customFormat="1" ht="17.399999999999999">
      <c r="A81" s="5050" t="s">
        <v>182</v>
      </c>
      <c r="B81" s="2910" t="str">
        <f>'[2]H. TÂN HỒNG'!B74</f>
        <v>Dự phòng ngân sách</v>
      </c>
      <c r="C81" s="5028">
        <f>+'Phụ lục 8-HĐND'!G15</f>
        <v>13989</v>
      </c>
    </row>
    <row r="82" spans="1:3" s="588" customFormat="1" ht="17.399999999999999">
      <c r="A82" s="5050" t="s">
        <v>215</v>
      </c>
      <c r="B82" s="2910" t="str">
        <f>'[2]H. TÂN HỒNG'!B75</f>
        <v>Chi tạo nguồn cải cách tiền lương</v>
      </c>
      <c r="C82" s="5028">
        <f>+'Phụ lục 8-HĐND'!G16</f>
        <v>0</v>
      </c>
    </row>
    <row r="83" spans="1:3">
      <c r="A83" s="5073" t="s">
        <v>718</v>
      </c>
      <c r="B83" s="701" t="str">
        <f>'[2]H. TÂN HỒNG'!B76</f>
        <v>Chi từ nguồn ngân sách cấp Tỉnh bổ sung có mục tiêu</v>
      </c>
      <c r="C83" s="5028">
        <f>SUM(C84:C88)</f>
        <v>19765.340837184594</v>
      </c>
    </row>
    <row r="84" spans="1:3">
      <c r="A84" s="5055" t="s">
        <v>29</v>
      </c>
      <c r="B84" s="704" t="str">
        <f>+'H. TÂN HỒNG'!B83</f>
        <v>Chi đầu tư xây dựng cơ bản</v>
      </c>
      <c r="C84" s="5032">
        <f>+'Phụ lục 8-HĐND'!G18</f>
        <v>0</v>
      </c>
    </row>
    <row r="85" spans="1:3">
      <c r="A85" s="5055" t="s">
        <v>29</v>
      </c>
      <c r="B85" s="704" t="str">
        <f>+'H. TÂN HỒNG'!B84</f>
        <v>Chi đầu tư từ nguồn xổ số kiến thiết</v>
      </c>
      <c r="C85" s="5032">
        <f>+'Phụ lục 8-HĐND'!G19</f>
        <v>0</v>
      </c>
    </row>
    <row r="86" spans="1:3">
      <c r="A86" s="5055" t="s">
        <v>29</v>
      </c>
      <c r="B86" s="2901" t="str">
        <f>+'H. TÂN HỒNG'!B85</f>
        <v>Chi từ nguồn ngân sách trung ương bổ sung có mục tiêu (kinh phí biên chế giáo viên tăng thêm)</v>
      </c>
      <c r="C86" s="5032">
        <f>+'Phụ lục 8-HĐND'!G20</f>
        <v>964</v>
      </c>
    </row>
    <row r="87" spans="1:3">
      <c r="A87" s="5056" t="s">
        <v>29</v>
      </c>
      <c r="B87" s="2901" t="str">
        <f>+'H. TÂN HỒNG'!B86</f>
        <v>Chi từ nguồn ngân sách trung ương bổ sung có mục tiêu (kinh phí hỗ trợ địa phương sản xuất lúa năm 2025)</v>
      </c>
      <c r="C87" s="5032">
        <f>+'Phụ lục 8-HĐND'!G21</f>
        <v>13500</v>
      </c>
    </row>
    <row r="88" spans="1:3" ht="18.600000000000001" thickBot="1">
      <c r="A88" s="5057"/>
      <c r="B88" s="5891" t="str">
        <f>+'H. TÂN HỒNG'!B87</f>
        <v>Chi từ nguồn ngân sách trung ương bổ sung có mục tiêu (chính sách an sinh xã hội năm 2025)</v>
      </c>
      <c r="C88" s="5059">
        <f>+'Phụ lục 8-HĐND'!G22</f>
        <v>5301.3408371845935</v>
      </c>
    </row>
    <row r="89" spans="1:3" ht="18.600000000000001" thickTop="1"/>
    <row r="90" spans="1:3">
      <c r="A90" s="588" t="s">
        <v>1717</v>
      </c>
      <c r="B90" s="2903"/>
    </row>
    <row r="91" spans="1:3" s="2705" customFormat="1">
      <c r="A91" s="6769" t="s">
        <v>1831</v>
      </c>
      <c r="B91" s="6770"/>
      <c r="C91" s="6770"/>
    </row>
    <row r="92" spans="1:3" s="2705" customFormat="1" ht="57.75" customHeight="1">
      <c r="A92" s="6778"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72"/>
      <c r="C92" s="6772"/>
    </row>
    <row r="93" spans="1:3" s="2705" customFormat="1" ht="36.75" customHeight="1">
      <c r="A93" s="6772" t="str">
        <f>+'H. TÂN HỒNG'!A92:C92</f>
        <v>- Chưa bao gồm chi đầu tư từ nguồn vốn do ngân sách cấp tỉnh quản lý và phân bổ bổ sung có mục tiêu cho ngân sách huyện, thành phố</v>
      </c>
      <c r="B93" s="6772"/>
      <c r="C93" s="6772"/>
    </row>
    <row r="94" spans="1:3">
      <c r="A94" s="6779" t="s">
        <v>3207</v>
      </c>
      <c r="B94" s="6779"/>
      <c r="C94" s="6779"/>
    </row>
    <row r="95" spans="1:3" ht="55.5" customHeight="1">
      <c r="A95" s="6772"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72"/>
      <c r="C95" s="6772"/>
    </row>
    <row r="96" spans="1:3" ht="37.5" customHeight="1">
      <c r="A96" s="6772"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2"/>
      <c r="C96" s="6772"/>
    </row>
    <row r="97" spans="1:3" ht="21" customHeight="1">
      <c r="A97" s="433" t="str">
        <f>+'H. TÂN HỒNG'!A96</f>
        <v xml:space="preserve">- Bao gồm 10% tiết kiệm tăng thêm năm 2025 so với năm 2024 để thực hiện cải cách tiền lương năm 2025 là: </v>
      </c>
      <c r="B97" s="5074"/>
      <c r="C97" s="5075" t="s">
        <v>1830</v>
      </c>
    </row>
    <row r="98" spans="1:3" s="2704" customFormat="1" ht="17.399999999999999">
      <c r="A98" s="6776" t="str">
        <f>'[2]H. TÂN HỒNG'!A91:C91</f>
        <v>(3): Trong đó:</v>
      </c>
      <c r="B98" s="6776"/>
      <c r="C98" s="6776"/>
    </row>
    <row r="99" spans="1:3" s="2705" customFormat="1" ht="55.5" customHeight="1">
      <c r="A99" s="6772"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72"/>
      <c r="C99" s="6772"/>
    </row>
    <row r="123" spans="1:3">
      <c r="A123" s="6283" t="str">
        <f>+'H. TÂN HỒNG'!A127:C127</f>
        <v>PHỤ LỤC III</v>
      </c>
      <c r="B123" s="6283"/>
      <c r="C123" s="6283"/>
    </row>
    <row r="124" spans="1:3">
      <c r="A124" s="6283" t="str">
        <f>+'H. TÂN HỒNG'!A128:C128</f>
        <v>CHI TỪ NGUỒN NGÂN SÁCH CẤP TỈNH BỔ SUNG CÓ MỤC TIÊU NĂM 2025</v>
      </c>
      <c r="B124" s="6283"/>
      <c r="C124" s="6283"/>
    </row>
    <row r="125" spans="1:3">
      <c r="A125" s="6283" t="str">
        <f>A67</f>
        <v>HUYỆN TAM NÔNG</v>
      </c>
      <c r="B125" s="6283"/>
      <c r="C125" s="6283"/>
    </row>
    <row r="126" spans="1:3">
      <c r="A126" s="6498" t="str">
        <f>+A68</f>
        <v>(Kèm theo Quyết định số        /QĐ-UBND-HC ngày      /12/2024 của Uỷ ban nhân dân tỉnh Đồng Tháp)</v>
      </c>
      <c r="B126" s="6498"/>
      <c r="C126" s="6498"/>
    </row>
    <row r="128" spans="1:3" ht="18.600000000000001" thickBot="1">
      <c r="A128" s="2899"/>
      <c r="B128" s="2899"/>
      <c r="C128" s="2883" t="str">
        <f>C70</f>
        <v>Đơn vị tính: Triệu đồng</v>
      </c>
    </row>
    <row r="129" spans="1:5" ht="35.4" thickTop="1">
      <c r="A129" s="5014" t="s">
        <v>136</v>
      </c>
      <c r="B129" s="4862" t="s">
        <v>137</v>
      </c>
      <c r="C129" s="4861" t="str">
        <f>+C71</f>
        <v>Dự toán năm 2025</v>
      </c>
    </row>
    <row r="130" spans="1:5">
      <c r="A130" s="5015"/>
      <c r="B130" s="682" t="s">
        <v>3196</v>
      </c>
      <c r="C130" s="5016">
        <f>SUM(C131:C142)</f>
        <v>83885.851999999999</v>
      </c>
      <c r="E130" s="667">
        <f>+C42-C130</f>
        <v>-0.40000000000873115</v>
      </c>
    </row>
    <row r="131" spans="1:5" ht="36">
      <c r="A131" s="593">
        <v>1</v>
      </c>
      <c r="B131" s="5022" t="s">
        <v>805</v>
      </c>
      <c r="C131" s="4538">
        <f>+'Phụ lục số 8.1'!AN14</f>
        <v>25274.37</v>
      </c>
    </row>
    <row r="132" spans="1:5">
      <c r="A132" s="593">
        <v>2</v>
      </c>
      <c r="B132" s="5022" t="str">
        <f>+'H. TÂN HỒNG'!B136</f>
        <v>Kinh phí hỗ trợ địa phương sản xuất lúa</v>
      </c>
      <c r="C132" s="4538">
        <f>+'Phụ lục số 8.1'!AN15</f>
        <v>41500</v>
      </c>
    </row>
    <row r="133" spans="1:5">
      <c r="A133" s="593">
        <v>3</v>
      </c>
      <c r="B133" s="5022" t="str">
        <f>+'H. TÂN HỒNG'!B137</f>
        <v>Kinh phí biên chế giáo viên tăng thêm</v>
      </c>
      <c r="C133" s="4538">
        <f>+'Phụ lục số 8.1'!AN18</f>
        <v>964</v>
      </c>
    </row>
    <row r="134" spans="1:5" ht="36">
      <c r="A134" s="593">
        <v>4</v>
      </c>
      <c r="B134" s="2525" t="s">
        <v>1608</v>
      </c>
      <c r="C134" s="4538">
        <f>+'Phụ lục số 8.3-CĐCS'!BS13-173</f>
        <v>31</v>
      </c>
    </row>
    <row r="135" spans="1:5">
      <c r="A135" s="593">
        <v>5</v>
      </c>
      <c r="B135" s="2525" t="s">
        <v>3197</v>
      </c>
      <c r="C135" s="5018">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3198</v>
      </c>
      <c r="C136" s="5018">
        <f>+'Phụ lục số 8.3-CĐCS'!BS15-100</f>
        <v>12.160000000000025</v>
      </c>
    </row>
    <row r="137" spans="1:5" ht="36">
      <c r="A137" s="593">
        <v>7</v>
      </c>
      <c r="B137" s="2525" t="s">
        <v>3199</v>
      </c>
      <c r="C137" s="5018">
        <f>+'Phụ lục số 8.3-CĐCS'!BS17</f>
        <v>9781</v>
      </c>
    </row>
    <row r="138" spans="1:5" ht="36">
      <c r="A138" s="593">
        <v>8</v>
      </c>
      <c r="B138" s="2525" t="s">
        <v>1093</v>
      </c>
      <c r="C138" s="4538">
        <f>+'Phụ lục số 8.3-CĐCS'!BS18</f>
        <v>10</v>
      </c>
    </row>
    <row r="139" spans="1:5" ht="36">
      <c r="A139" s="593">
        <v>9</v>
      </c>
      <c r="B139" s="5012" t="s">
        <v>3156</v>
      </c>
      <c r="C139" s="5018">
        <f>+'Phụ lục số 8.1'!AN20</f>
        <v>707.82</v>
      </c>
    </row>
    <row r="140" spans="1:5">
      <c r="A140" s="593">
        <v>10</v>
      </c>
      <c r="B140" s="5013" t="s">
        <v>1510</v>
      </c>
      <c r="C140" s="5018">
        <f>+'Phụ lục số 8.1'!AN22</f>
        <v>1820</v>
      </c>
    </row>
    <row r="141" spans="1:5">
      <c r="A141" s="593">
        <v>11</v>
      </c>
      <c r="B141" s="5013" t="str">
        <f>+'H. TÂN HỒNG'!B145</f>
        <v>Kinh phí thực hiện hỗ trợ đào tạo nghề trình độ sơ cấp và đào tạo dưới 03 tháng năm 2025</v>
      </c>
      <c r="C141" s="5018">
        <f>+'Phụ lục số 8.1'!AN21</f>
        <v>235</v>
      </c>
    </row>
    <row r="142" spans="1:5" ht="18.600000000000001" thickBot="1">
      <c r="A142" s="5019">
        <v>12</v>
      </c>
      <c r="B142" s="5192" t="str">
        <f>+'H. TÂN HỒNG'!B146</f>
        <v>Kinh phí tổ chức đại hội Đảng nhiệm kỳ 2025 - 2030</v>
      </c>
      <c r="C142" s="5021">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+'H. TAM NÔNG'!A1:C1</f>
        <v>PHỤ LỤC I</v>
      </c>
      <c r="B1" s="6283"/>
      <c r="C1" s="6283"/>
    </row>
    <row r="2" spans="1:3">
      <c r="A2" s="6283" t="str">
        <f>+'H. TAM NÔNG'!A2:C2</f>
        <v>NHIỆM VỤ THU NGÂN SÁCH NHÀ NƯỚC NĂM 2025</v>
      </c>
      <c r="B2" s="6283"/>
      <c r="C2" s="6283"/>
    </row>
    <row r="3" spans="1:3">
      <c r="A3" s="6283" t="s">
        <v>1491</v>
      </c>
      <c r="B3" s="6283"/>
      <c r="C3" s="6283"/>
    </row>
    <row r="4" spans="1:3">
      <c r="A4" s="6500" t="str">
        <f>+'H. TAM NÔNG'!A4:C4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196200</v>
      </c>
    </row>
    <row r="9" spans="1:3">
      <c r="A9" s="5025"/>
      <c r="B9" s="697" t="s">
        <v>784</v>
      </c>
      <c r="C9" s="5026">
        <f>C8-C29</f>
        <v>146200</v>
      </c>
    </row>
    <row r="10" spans="1:3">
      <c r="A10" s="5027">
        <v>1</v>
      </c>
      <c r="B10" s="701" t="s">
        <v>1477</v>
      </c>
      <c r="C10" s="5028">
        <f>SUM(C11:C15)</f>
        <v>67000</v>
      </c>
    </row>
    <row r="11" spans="1:3">
      <c r="A11" s="5029" t="s">
        <v>29</v>
      </c>
      <c r="B11" s="704" t="s">
        <v>786</v>
      </c>
      <c r="C11" s="5032">
        <f>+'Phụ lục 7-HĐND'!R10</f>
        <v>19700</v>
      </c>
    </row>
    <row r="12" spans="1:3">
      <c r="A12" s="5029" t="s">
        <v>29</v>
      </c>
      <c r="B12" s="704" t="s">
        <v>787</v>
      </c>
      <c r="C12" s="5032">
        <f>+'Phụ lục 7-HĐND'!R11</f>
        <v>46900</v>
      </c>
    </row>
    <row r="13" spans="1:3">
      <c r="A13" s="5029" t="s">
        <v>29</v>
      </c>
      <c r="B13" s="704" t="s">
        <v>788</v>
      </c>
      <c r="C13" s="5032">
        <f>+'Phụ lục 7-HĐND'!R12</f>
        <v>100</v>
      </c>
    </row>
    <row r="14" spans="1:3">
      <c r="A14" s="5029" t="s">
        <v>29</v>
      </c>
      <c r="B14" s="704" t="s">
        <v>10</v>
      </c>
      <c r="C14" s="5032">
        <f>+'Phụ lục 7-HĐND'!R13</f>
        <v>300</v>
      </c>
    </row>
    <row r="15" spans="1:3">
      <c r="A15" s="5029" t="s">
        <v>29</v>
      </c>
      <c r="B15" s="704" t="s">
        <v>789</v>
      </c>
      <c r="C15" s="5032">
        <f>+'Phụ lục 7-HĐND'!R14</f>
        <v>0</v>
      </c>
    </row>
    <row r="16" spans="1:3">
      <c r="A16" s="5027">
        <v>2</v>
      </c>
      <c r="B16" s="701" t="s">
        <v>20</v>
      </c>
      <c r="C16" s="5028">
        <f>SUM(C17:C18)</f>
        <v>17000</v>
      </c>
    </row>
    <row r="17" spans="1:3" hidden="1">
      <c r="A17" s="5031" t="s">
        <v>29</v>
      </c>
      <c r="B17" s="43" t="s">
        <v>790</v>
      </c>
      <c r="C17" s="5032">
        <f>+'Phụ lục 7-HĐND'!R16</f>
        <v>0</v>
      </c>
    </row>
    <row r="18" spans="1:3" hidden="1">
      <c r="A18" s="5033" t="s">
        <v>29</v>
      </c>
      <c r="B18" s="711" t="s">
        <v>791</v>
      </c>
      <c r="C18" s="5032">
        <f>+'Phụ lục 7-HĐND'!R17</f>
        <v>17000</v>
      </c>
    </row>
    <row r="19" spans="1:3" s="386" customFormat="1" ht="17.399999999999999">
      <c r="A19" s="5027">
        <v>3</v>
      </c>
      <c r="B19" s="701" t="s">
        <v>17</v>
      </c>
      <c r="C19" s="5028">
        <f>+'Phụ lục 7-HĐND'!R18</f>
        <v>20000</v>
      </c>
    </row>
    <row r="20" spans="1:3" s="386" customFormat="1" ht="17.399999999999999">
      <c r="A20" s="5027">
        <v>4</v>
      </c>
      <c r="B20" s="701" t="s">
        <v>792</v>
      </c>
      <c r="C20" s="5028">
        <f>+'Phụ lục 7-HĐND'!R19</f>
        <v>0</v>
      </c>
    </row>
    <row r="21" spans="1:3" s="386" customFormat="1" ht="17.399999999999999">
      <c r="A21" s="5027">
        <v>4</v>
      </c>
      <c r="B21" s="701" t="s">
        <v>97</v>
      </c>
      <c r="C21" s="5028">
        <f>+'Phụ lục 7-HĐND'!R20</f>
        <v>1200</v>
      </c>
    </row>
    <row r="22" spans="1:3">
      <c r="A22" s="5027">
        <v>5</v>
      </c>
      <c r="B22" s="701" t="s">
        <v>793</v>
      </c>
      <c r="C22" s="5028">
        <f>SUM(C23:C25)</f>
        <v>6000</v>
      </c>
    </row>
    <row r="23" spans="1:3">
      <c r="A23" s="5034" t="s">
        <v>29</v>
      </c>
      <c r="B23" s="43" t="s">
        <v>794</v>
      </c>
      <c r="C23" s="5032">
        <f>+'Phụ lục 7-HĐND'!R22</f>
        <v>2200</v>
      </c>
    </row>
    <row r="24" spans="1:3">
      <c r="A24" s="5034" t="s">
        <v>29</v>
      </c>
      <c r="B24" s="43" t="s">
        <v>795</v>
      </c>
      <c r="C24" s="5032">
        <f>+'Phụ lục 7-HĐND'!R23</f>
        <v>200</v>
      </c>
    </row>
    <row r="25" spans="1:3">
      <c r="A25" s="5034" t="s">
        <v>29</v>
      </c>
      <c r="B25" s="43" t="s">
        <v>796</v>
      </c>
      <c r="C25" s="5032">
        <f>+'Phụ lục 7-HĐND'!R24</f>
        <v>3600</v>
      </c>
    </row>
    <row r="26" spans="1:3">
      <c r="A26" s="5027">
        <v>6</v>
      </c>
      <c r="B26" s="701" t="s">
        <v>24</v>
      </c>
      <c r="C26" s="5028">
        <f>SUM(C27:C28)</f>
        <v>10000</v>
      </c>
    </row>
    <row r="27" spans="1:3">
      <c r="A27" s="5034" t="s">
        <v>29</v>
      </c>
      <c r="B27" s="43" t="s">
        <v>790</v>
      </c>
      <c r="C27" s="5032">
        <f>+'Phụ lục 7-HĐND'!R26</f>
        <v>0</v>
      </c>
    </row>
    <row r="28" spans="1:3">
      <c r="A28" s="5035" t="s">
        <v>29</v>
      </c>
      <c r="B28" s="711" t="s">
        <v>1809</v>
      </c>
      <c r="C28" s="5032">
        <f>+'Phụ lục 7-HĐND'!R27</f>
        <v>10000</v>
      </c>
    </row>
    <row r="29" spans="1:3">
      <c r="A29" s="5027">
        <v>7</v>
      </c>
      <c r="B29" s="701" t="s">
        <v>242</v>
      </c>
      <c r="C29" s="5028">
        <f>SUM(C30:C31)</f>
        <v>50000</v>
      </c>
    </row>
    <row r="30" spans="1:3">
      <c r="A30" s="5034" t="s">
        <v>29</v>
      </c>
      <c r="B30" s="43" t="s">
        <v>790</v>
      </c>
      <c r="C30" s="5032">
        <f>+'Phụ lục 7-HĐND'!R29</f>
        <v>0</v>
      </c>
    </row>
    <row r="31" spans="1:3">
      <c r="A31" s="5035" t="s">
        <v>29</v>
      </c>
      <c r="B31" s="711" t="s">
        <v>1810</v>
      </c>
      <c r="C31" s="5032">
        <f>+'Phụ lục 7-HĐND'!R30</f>
        <v>50000</v>
      </c>
    </row>
    <row r="32" spans="1:3">
      <c r="A32" s="5027">
        <v>8</v>
      </c>
      <c r="B32" s="701" t="s">
        <v>798</v>
      </c>
      <c r="C32" s="5028">
        <f>SUM(C33:C35)</f>
        <v>25000</v>
      </c>
    </row>
    <row r="33" spans="1:3">
      <c r="A33" s="5034" t="s">
        <v>29</v>
      </c>
      <c r="B33" s="43" t="s">
        <v>799</v>
      </c>
      <c r="C33" s="5032">
        <f>+'Phụ lục 7-HĐND'!R32</f>
        <v>3500</v>
      </c>
    </row>
    <row r="34" spans="1:3">
      <c r="A34" s="5034" t="s">
        <v>29</v>
      </c>
      <c r="B34" s="43" t="s">
        <v>800</v>
      </c>
      <c r="C34" s="5032">
        <f>+'Phụ lục 7-HĐND'!R33</f>
        <v>3000</v>
      </c>
    </row>
    <row r="35" spans="1:3">
      <c r="A35" s="5034" t="s">
        <v>29</v>
      </c>
      <c r="B35" s="43" t="s">
        <v>801</v>
      </c>
      <c r="C35" s="5032">
        <f>+'Phụ lục 7-HĐND'!R34</f>
        <v>18500</v>
      </c>
    </row>
    <row r="36" spans="1:3">
      <c r="A36" s="5027">
        <v>9</v>
      </c>
      <c r="B36" s="5036" t="s">
        <v>1811</v>
      </c>
      <c r="C36" s="5028">
        <f>+'Phụ lục 7-HĐND'!R35</f>
        <v>0</v>
      </c>
    </row>
    <row r="37" spans="1:3">
      <c r="A37" s="5027" t="s">
        <v>33</v>
      </c>
      <c r="B37" s="701" t="s">
        <v>1812</v>
      </c>
      <c r="C37" s="5037"/>
    </row>
    <row r="38" spans="1:3">
      <c r="A38" s="5027"/>
      <c r="B38" s="704" t="s">
        <v>1813</v>
      </c>
      <c r="C38" s="5038">
        <v>1</v>
      </c>
    </row>
    <row r="39" spans="1:3" s="386" customFormat="1" ht="17.399999999999999">
      <c r="A39" s="4971" t="s">
        <v>182</v>
      </c>
      <c r="B39" s="4972" t="s">
        <v>802</v>
      </c>
      <c r="C39" s="613">
        <f>SUM(C40:C42)</f>
        <v>751634.22600000002</v>
      </c>
    </row>
    <row r="40" spans="1:3">
      <c r="A40" s="1926">
        <v>1</v>
      </c>
      <c r="B40" s="4968" t="s">
        <v>803</v>
      </c>
      <c r="C40" s="2608">
        <f>+'Phụ lục 7-HĐND'!R37</f>
        <v>449761</v>
      </c>
    </row>
    <row r="41" spans="1:3">
      <c r="A41" s="1926">
        <v>2</v>
      </c>
      <c r="B41" s="1927" t="s">
        <v>3136</v>
      </c>
      <c r="C41" s="2608">
        <f>+'Phụ lục 7-HĐND'!R38</f>
        <v>204980</v>
      </c>
    </row>
    <row r="42" spans="1:3">
      <c r="A42" s="1926">
        <v>3</v>
      </c>
      <c r="B42" s="4968" t="s">
        <v>3206</v>
      </c>
      <c r="C42" s="2608">
        <f>+'Phụ lục 7-HĐND'!R39</f>
        <v>96893.225999999995</v>
      </c>
    </row>
    <row r="43" spans="1:3" s="386" customFormat="1" thickBot="1">
      <c r="A43" s="4539" t="s">
        <v>215</v>
      </c>
      <c r="B43" s="5042" t="s">
        <v>1721</v>
      </c>
      <c r="C43" s="5043">
        <f>+'Phụ lục 7-HĐND'!R40</f>
        <v>17902</v>
      </c>
    </row>
    <row r="44" spans="1:3" ht="18.600000000000001" thickTop="1">
      <c r="A44" s="2914"/>
      <c r="B44" s="2914" t="s">
        <v>809</v>
      </c>
      <c r="C44" s="2915"/>
    </row>
    <row r="46" spans="1:3">
      <c r="A46" s="6746" t="s">
        <v>1717</v>
      </c>
      <c r="B46" s="6746"/>
      <c r="C46" s="6746"/>
    </row>
    <row r="47" spans="1:3" ht="36.75" customHeight="1">
      <c r="A47" s="6761" t="str">
        <f>+'H. TAM NÔNG'!A47:C47</f>
        <v xml:space="preserve">(1): Dự toán thu ngân sách nhà nước năm 2025 không bao gồm các khoản huy động nhân dân đóng góp, các khoản ghi thu, ghi chi vào ngân sách nhà nước theo chế độ quy định.
</v>
      </c>
      <c r="B47" s="6761"/>
      <c r="C47" s="6761"/>
    </row>
    <row r="48" spans="1:3" ht="105" customHeight="1">
      <c r="A48" s="6761"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3">
      <c r="A49" s="6780" t="str">
        <f>+'H. TAM NÔNG'!A49</f>
        <v>(4): Các khoản thu phân chia theo tỷ lệ (%) giữa ngân sách cấp Tỉnh và ngân sách cấp huyện</v>
      </c>
      <c r="B49" s="6780"/>
      <c r="C49" s="6780"/>
    </row>
    <row r="50" spans="1:3">
      <c r="A50" s="6780" t="str">
        <f>+'H. TAM NÔNG'!A50</f>
        <v>(5): Chi tiết thu bổ sung có mục tiêu theo Phụ lục số III</v>
      </c>
      <c r="B50" s="6780"/>
      <c r="C50" s="6780"/>
    </row>
    <row r="51" spans="1:3">
      <c r="A51" s="2922"/>
      <c r="B51" s="2922"/>
      <c r="C51" s="2922"/>
    </row>
    <row r="66" spans="1:3">
      <c r="A66" s="6283" t="str">
        <f>+'H. TAM NÔNG'!A65:C65</f>
        <v>PHỤ LỤC II</v>
      </c>
      <c r="B66" s="6283"/>
      <c r="C66" s="6283"/>
    </row>
    <row r="67" spans="1:3">
      <c r="A67" s="6283" t="str">
        <f>+'H. TAM NÔNG'!A66:C66</f>
        <v>NHIỆM VỤ CHI NGÂN SÁCH HUYỆN, THÀNH PHỐ NĂM 2025</v>
      </c>
      <c r="B67" s="6283"/>
      <c r="C67" s="6283"/>
    </row>
    <row r="68" spans="1:3">
      <c r="A68" s="6283" t="str">
        <f>A3</f>
        <v>HUYỆN THANH BÌNH</v>
      </c>
      <c r="B68" s="6283"/>
      <c r="C68" s="6283"/>
    </row>
    <row r="69" spans="1:3">
      <c r="A69" s="6500" t="str">
        <f>A4</f>
        <v>(Kèm theo Quyết định số        /QĐ-UBND-HC ngày      /12/2024 của Uỷ ban nhân dân tỉnh Đồng Tháp)</v>
      </c>
      <c r="B69" s="6500"/>
      <c r="C69" s="6500"/>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s="2923" customFormat="1" ht="17.399999999999999">
      <c r="A73" s="5061"/>
      <c r="B73" s="2753" t="str">
        <f>'[2]H. TAM NÔNG'!B65</f>
        <v>Tổng chi (I+II+III+IV)</v>
      </c>
      <c r="C73" s="5062">
        <f>C74+C78+C82+C83+C84</f>
        <v>950436.22600000002</v>
      </c>
    </row>
    <row r="74" spans="1:3" s="2923" customFormat="1" ht="17.399999999999999">
      <c r="A74" s="5063" t="s">
        <v>3</v>
      </c>
      <c r="B74" s="2741" t="str">
        <f>'[2]H. TAM NÔNG'!B66</f>
        <v>Chi đầu tư phát triển (1)</v>
      </c>
      <c r="C74" s="5064">
        <f>C76+C77</f>
        <v>89000</v>
      </c>
    </row>
    <row r="75" spans="1:3" s="47" customFormat="1">
      <c r="A75" s="5065"/>
      <c r="B75" s="2924" t="str">
        <f>'[2]H. TAM NÔNG'!B67</f>
        <v>Bao gồm:</v>
      </c>
      <c r="C75" s="5076"/>
    </row>
    <row r="76" spans="1:3" s="47" customFormat="1">
      <c r="A76" s="5067">
        <v>1</v>
      </c>
      <c r="B76" s="328" t="str">
        <f>'[2]H. TAM NÔNG'!B68</f>
        <v>Chi đầu tư xây dựng cơ bản</v>
      </c>
      <c r="C76" s="5076">
        <f>+'Phụ lục 8-HĐND'!H9</f>
        <v>44000</v>
      </c>
    </row>
    <row r="77" spans="1:3" s="47" customFormat="1">
      <c r="A77" s="5067">
        <v>2</v>
      </c>
      <c r="B77" s="328" t="str">
        <f>'[2]H. TAM NÔNG'!B69</f>
        <v>Chi đầu tư từ nguồn thu tiền sử dụng đất</v>
      </c>
      <c r="C77" s="5076">
        <f>+'Phụ lục 8-HĐND'!H10</f>
        <v>45000</v>
      </c>
    </row>
    <row r="78" spans="1:3" s="2923" customFormat="1" ht="17.399999999999999">
      <c r="A78" s="5063" t="s">
        <v>33</v>
      </c>
      <c r="B78" s="2741" t="str">
        <f>'[2]H. TAM NÔNG'!B70</f>
        <v>Chi thường xuyên (2)</v>
      </c>
      <c r="C78" s="5064">
        <f>+'Phụ lục 8-HĐND'!H11</f>
        <v>822292.80711051729</v>
      </c>
    </row>
    <row r="79" spans="1:3" s="47" customFormat="1">
      <c r="A79" s="5068"/>
      <c r="B79" s="2900" t="str">
        <f>'[2]H. TAM NÔNG'!B71</f>
        <v>Bao gồm:</v>
      </c>
      <c r="C79" s="5076"/>
    </row>
    <row r="80" spans="1:3" s="47" customFormat="1">
      <c r="A80" s="5067">
        <v>1</v>
      </c>
      <c r="B80" s="924" t="str">
        <f>'[2]H. TAM NÔNG'!B72</f>
        <v>Sự nghiệp giáo dục - đào tạo (3)</v>
      </c>
      <c r="C80" s="5076">
        <f>+'Phụ lục 8-HĐND'!H13</f>
        <v>448049</v>
      </c>
    </row>
    <row r="81" spans="1:3" s="47" customFormat="1">
      <c r="A81" s="5067">
        <v>2</v>
      </c>
      <c r="B81" s="924" t="str">
        <f>'[2]H. TAM NÔNG'!B73</f>
        <v>Các khoản chi thường xuyên còn lại</v>
      </c>
      <c r="C81" s="5076">
        <f>+'Phụ lục 8-HĐND'!H14</f>
        <v>374243.80711051729</v>
      </c>
    </row>
    <row r="82" spans="1:3" s="2923" customFormat="1" ht="17.399999999999999">
      <c r="A82" s="5063" t="s">
        <v>182</v>
      </c>
      <c r="B82" s="2741" t="str">
        <f>'[2]H. TAM NÔNG'!B74</f>
        <v>Dự phòng ngân sách</v>
      </c>
      <c r="C82" s="5064">
        <f>+'Phụ lục 8-HĐND'!H15</f>
        <v>17519</v>
      </c>
    </row>
    <row r="83" spans="1:3" s="2923" customFormat="1" ht="17.399999999999999">
      <c r="A83" s="5063" t="s">
        <v>215</v>
      </c>
      <c r="B83" s="2741" t="str">
        <f>'[2]H. TAM NÔNG'!B75</f>
        <v>Chi tạo nguồn cải cách tiền lương</v>
      </c>
      <c r="C83" s="5064">
        <f>+'Phụ lục 8-HĐND'!H16</f>
        <v>0</v>
      </c>
    </row>
    <row r="84" spans="1:3" s="2923" customFormat="1" ht="17.399999999999999">
      <c r="A84" s="5890" t="s">
        <v>718</v>
      </c>
      <c r="B84" s="2741" t="str">
        <f>'[2]H. TAM NÔNG'!B76</f>
        <v>Chi từ nguồn ngân sách cấp Tỉnh bổ sung có mục tiêu</v>
      </c>
      <c r="C84" s="5064">
        <f>SUM(C85:C89)</f>
        <v>21624.418889482789</v>
      </c>
    </row>
    <row r="85" spans="1:3">
      <c r="A85" s="5055" t="s">
        <v>29</v>
      </c>
      <c r="B85" s="704" t="str">
        <f>+'H. TAM NÔNG'!B84</f>
        <v>Chi đầu tư xây dựng cơ bản</v>
      </c>
      <c r="C85" s="5032">
        <f>+'Phụ lục 8-HĐND'!H18</f>
        <v>0</v>
      </c>
    </row>
    <row r="86" spans="1:3">
      <c r="A86" s="5055" t="s">
        <v>29</v>
      </c>
      <c r="B86" s="704" t="str">
        <f>+'H. TAM NÔNG'!B85</f>
        <v>Chi đầu tư từ nguồn xổ số kiến thiết</v>
      </c>
      <c r="C86" s="5032">
        <f>+'Phụ lục 8-HĐND'!H19</f>
        <v>0</v>
      </c>
    </row>
    <row r="87" spans="1:3">
      <c r="A87" s="5055" t="s">
        <v>29</v>
      </c>
      <c r="B87" s="2901" t="str">
        <f>+'H. TAM NÔNG'!B86</f>
        <v>Chi từ nguồn ngân sách trung ương bổ sung có mục tiêu (kinh phí biên chế giáo viên tăng thêm)</v>
      </c>
      <c r="C87" s="5032">
        <f>+'Phụ lục 8-HĐND'!H20</f>
        <v>1227</v>
      </c>
    </row>
    <row r="88" spans="1:3">
      <c r="A88" s="5056" t="s">
        <v>29</v>
      </c>
      <c r="B88" s="2901" t="str">
        <f>+'H. TAM NÔNG'!B87</f>
        <v>Chi từ nguồn ngân sách trung ương bổ sung có mục tiêu (kinh phí hỗ trợ địa phương sản xuất lúa năm 2025)</v>
      </c>
      <c r="C88" s="5032">
        <f>+'Phụ lục 8-HĐND'!H21</f>
        <v>9549</v>
      </c>
    </row>
    <row r="89" spans="1:3" ht="18.600000000000001" thickBot="1">
      <c r="A89" s="5057"/>
      <c r="B89" s="5891" t="str">
        <f>+'H. TAM NÔNG'!B88</f>
        <v>Chi từ nguồn ngân sách trung ương bổ sung có mục tiêu (chính sách an sinh xã hội năm 2025)</v>
      </c>
      <c r="C89" s="5059">
        <f>+'Phụ lục 8-HĐND'!H22</f>
        <v>10848.418889482789</v>
      </c>
    </row>
    <row r="90" spans="1:3" ht="18.600000000000001" thickTop="1"/>
    <row r="91" spans="1:3">
      <c r="A91" s="588" t="s">
        <v>1717</v>
      </c>
      <c r="B91" s="2903"/>
    </row>
    <row r="92" spans="1:3">
      <c r="A92" s="6763" t="s">
        <v>1828</v>
      </c>
      <c r="B92" s="6764"/>
      <c r="C92" s="6764"/>
    </row>
    <row r="93" spans="1:3">
      <c r="A93" s="6774"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71"/>
      <c r="C93" s="6771"/>
    </row>
    <row r="94" spans="1:3" ht="39.75" customHeight="1">
      <c r="A94" s="6771" t="str">
        <f>+'H. TAM NÔNG'!A93:C93</f>
        <v>- Chưa bao gồm chi đầu tư từ nguồn vốn do ngân sách cấp tỉnh quản lý và phân bổ bổ sung có mục tiêu cho ngân sách huyện, thành phố</v>
      </c>
      <c r="B94" s="6771"/>
      <c r="C94" s="6771"/>
    </row>
    <row r="95" spans="1:3">
      <c r="A95" s="6766" t="s">
        <v>1829</v>
      </c>
      <c r="B95" s="6766"/>
      <c r="C95" s="6766"/>
    </row>
    <row r="96" spans="1:3" ht="57.75" customHeight="1">
      <c r="A96" s="6771"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71"/>
      <c r="C96" s="6771"/>
    </row>
    <row r="97" spans="1:3" ht="39.75" customHeight="1">
      <c r="A97" s="6781"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81"/>
      <c r="C97" s="6781"/>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771"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71"/>
      <c r="C100" s="6771"/>
    </row>
    <row r="129" spans="1:5">
      <c r="A129" s="6283" t="str">
        <f>+'H. TAM NÔNG'!A123:C123</f>
        <v>PHỤ LỤC III</v>
      </c>
      <c r="B129" s="6283"/>
      <c r="C129" s="6283"/>
    </row>
    <row r="130" spans="1:5">
      <c r="A130" s="6283" t="str">
        <f>+'H. TAM NÔNG'!A124:C124</f>
        <v>CHI TỪ NGUỒN NGÂN SÁCH CẤP TỈNH BỔ SUNG CÓ MỤC TIÊU NĂM 2025</v>
      </c>
      <c r="B130" s="6283"/>
      <c r="C130" s="6283"/>
    </row>
    <row r="131" spans="1:5">
      <c r="A131" s="6283" t="str">
        <f>A68</f>
        <v>HUYỆN THANH BÌNH</v>
      </c>
      <c r="B131" s="6283"/>
      <c r="C131" s="6283"/>
    </row>
    <row r="132" spans="1:5">
      <c r="A132" s="6498" t="str">
        <f>+A69</f>
        <v>(Kèm theo Quyết định số        /QĐ-UBND-HC ngày      /12/2024 của Uỷ ban nhân dân tỉnh Đồng Tháp)</v>
      </c>
      <c r="B132" s="6498"/>
      <c r="C132" s="6498"/>
    </row>
    <row r="134" spans="1:5" ht="18.600000000000001" thickBot="1">
      <c r="A134" s="2899"/>
      <c r="B134" s="2899"/>
      <c r="C134" s="2883" t="str">
        <f>C71</f>
        <v>Đơn vị tính: Triệu đồng</v>
      </c>
    </row>
    <row r="135" spans="1:5" ht="35.4" thickTop="1">
      <c r="A135" s="5014" t="s">
        <v>136</v>
      </c>
      <c r="B135" s="4862" t="s">
        <v>137</v>
      </c>
      <c r="C135" s="4861" t="str">
        <f>+C72</f>
        <v>Dự toán năm 2025</v>
      </c>
    </row>
    <row r="136" spans="1:5">
      <c r="A136" s="5015"/>
      <c r="B136" s="682" t="s">
        <v>3196</v>
      </c>
      <c r="C136" s="5016">
        <f>SUM(C137:C148)</f>
        <v>96893.225999999995</v>
      </c>
      <c r="E136" s="667">
        <f>+C42-C136</f>
        <v>0</v>
      </c>
    </row>
    <row r="137" spans="1:5" ht="36">
      <c r="A137" s="593">
        <v>1</v>
      </c>
      <c r="B137" s="5022" t="s">
        <v>805</v>
      </c>
      <c r="C137" s="4538">
        <f>+'Phụ lục số 8.1'!AV14</f>
        <v>18981.66</v>
      </c>
    </row>
    <row r="138" spans="1:5">
      <c r="A138" s="593">
        <v>2</v>
      </c>
      <c r="B138" s="5022" t="str">
        <f>+'H. TAM NÔNG'!B132</f>
        <v>Kinh phí hỗ trợ địa phương sản xuất lúa</v>
      </c>
      <c r="C138" s="4538">
        <f>+'Phụ lục số 8.1'!AV15</f>
        <v>29647</v>
      </c>
    </row>
    <row r="139" spans="1:5">
      <c r="A139" s="593">
        <v>3</v>
      </c>
      <c r="B139" s="5022" t="str">
        <f>+'H. TAM NÔNG'!B133</f>
        <v>Kinh phí biên chế giáo viên tăng thêm</v>
      </c>
      <c r="C139" s="4538">
        <f>+'Phụ lục số 8.1'!AV18</f>
        <v>1227</v>
      </c>
    </row>
    <row r="140" spans="1:5" ht="36">
      <c r="A140" s="593">
        <v>4</v>
      </c>
      <c r="B140" s="2525" t="s">
        <v>1608</v>
      </c>
      <c r="C140" s="4538">
        <f>+'Phụ lục số 8.3-CĐCS'!CG13+'Phụ lục số 8.3-CĐCS'!CG14</f>
        <v>168.07999999999998</v>
      </c>
    </row>
    <row r="141" spans="1:5">
      <c r="A141" s="593">
        <v>5</v>
      </c>
      <c r="B141" s="2525" t="s">
        <v>3197</v>
      </c>
      <c r="C141" s="5018">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3198</v>
      </c>
      <c r="C142" s="5018">
        <f>+'Phụ lục số 8.3-CĐCS'!CG15</f>
        <v>42.271999999999998</v>
      </c>
    </row>
    <row r="143" spans="1:5" ht="36">
      <c r="A143" s="593">
        <v>7</v>
      </c>
      <c r="B143" s="2525" t="s">
        <v>3199</v>
      </c>
      <c r="C143" s="5018">
        <f>+'Phụ lục số 8.3-CĐCS'!CG17+'Phụ lục số 8.3-CĐCS'!CG18</f>
        <v>19913</v>
      </c>
    </row>
    <row r="144" spans="1:5" ht="36">
      <c r="A144" s="593">
        <v>8</v>
      </c>
      <c r="B144" s="2525" t="s">
        <v>1093</v>
      </c>
      <c r="C144" s="4538">
        <v>0</v>
      </c>
    </row>
    <row r="145" spans="1:3" ht="36">
      <c r="A145" s="593">
        <v>9</v>
      </c>
      <c r="B145" s="5012" t="s">
        <v>3156</v>
      </c>
      <c r="C145" s="5018">
        <f>+'Phụ lục số 8.1'!AV20</f>
        <v>1144.56</v>
      </c>
    </row>
    <row r="146" spans="1:3">
      <c r="A146" s="593">
        <v>10</v>
      </c>
      <c r="B146" s="5013" t="s">
        <v>1510</v>
      </c>
      <c r="C146" s="5018">
        <f>+'Phụ lục số 8.1'!AV22</f>
        <v>21475</v>
      </c>
    </row>
    <row r="147" spans="1:3">
      <c r="A147" s="593">
        <v>11</v>
      </c>
      <c r="B147" s="5013" t="str">
        <f>+'H. TAM NÔNG'!B141</f>
        <v>Kinh phí thực hiện hỗ trợ đào tạo nghề trình độ sơ cấp và đào tạo dưới 03 tháng năm 2025</v>
      </c>
      <c r="C147" s="5018">
        <f>+'Phụ lục số 8.1'!AV21</f>
        <v>142</v>
      </c>
    </row>
    <row r="148" spans="1:3" ht="18.600000000000001" thickBot="1">
      <c r="A148" s="5019">
        <v>12</v>
      </c>
      <c r="B148" s="5192" t="str">
        <f>+'H. TAM NÔNG'!B142</f>
        <v>Kinh phí tổ chức đại hội Đảng nhiệm kỳ 2025 - 2030</v>
      </c>
      <c r="C148" s="5021">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+'H. THANH BÌNH'!A1:C1</f>
        <v>PHỤ LỤC I</v>
      </c>
      <c r="B1" s="6283"/>
      <c r="C1" s="6283"/>
    </row>
    <row r="2" spans="1:3">
      <c r="A2" s="6283" t="str">
        <f>+'H. THANH BÌNH'!A2:C2</f>
        <v>NHIỆM VỤ THU NGÂN SÁCH NHÀ NƯỚC NĂM 2025</v>
      </c>
      <c r="B2" s="6283"/>
      <c r="C2" s="6283"/>
    </row>
    <row r="3" spans="1:3">
      <c r="A3" s="6283" t="s">
        <v>1492</v>
      </c>
      <c r="B3" s="6283"/>
      <c r="C3" s="6283"/>
    </row>
    <row r="4" spans="1:3">
      <c r="A4" s="6500" t="str">
        <f>+'H. THANH BÌNH'!A4:C4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1501500</v>
      </c>
    </row>
    <row r="9" spans="1:3">
      <c r="A9" s="5025"/>
      <c r="B9" s="697" t="s">
        <v>784</v>
      </c>
      <c r="C9" s="5026">
        <f>C8-C29</f>
        <v>1191500</v>
      </c>
    </row>
    <row r="10" spans="1:3" s="386" customFormat="1" ht="17.399999999999999">
      <c r="A10" s="5027">
        <v>1</v>
      </c>
      <c r="B10" s="701" t="s">
        <v>1477</v>
      </c>
      <c r="C10" s="5028">
        <f>SUM(C11:C15)</f>
        <v>780000</v>
      </c>
    </row>
    <row r="11" spans="1:3">
      <c r="A11" s="5029" t="s">
        <v>29</v>
      </c>
      <c r="B11" s="704" t="s">
        <v>786</v>
      </c>
      <c r="C11" s="5032">
        <f>+'Phụ lục 7-HĐND'!U10</f>
        <v>306200</v>
      </c>
    </row>
    <row r="12" spans="1:3">
      <c r="A12" s="5029" t="s">
        <v>29</v>
      </c>
      <c r="B12" s="704" t="s">
        <v>787</v>
      </c>
      <c r="C12" s="5032">
        <f>+'Phụ lục 7-HĐND'!U11</f>
        <v>422000</v>
      </c>
    </row>
    <row r="13" spans="1:3">
      <c r="A13" s="5029" t="s">
        <v>29</v>
      </c>
      <c r="B13" s="704" t="s">
        <v>788</v>
      </c>
      <c r="C13" s="5032">
        <f>+'Phụ lục 7-HĐND'!U12</f>
        <v>26600</v>
      </c>
    </row>
    <row r="14" spans="1:3">
      <c r="A14" s="5029" t="s">
        <v>29</v>
      </c>
      <c r="B14" s="704" t="s">
        <v>10</v>
      </c>
      <c r="C14" s="5032">
        <f>+'Phụ lục 7-HĐND'!U13</f>
        <v>25200</v>
      </c>
    </row>
    <row r="15" spans="1:3">
      <c r="A15" s="5029" t="s">
        <v>29</v>
      </c>
      <c r="B15" s="704" t="s">
        <v>789</v>
      </c>
      <c r="C15" s="5032">
        <f>+'Phụ lục 7-HĐND'!U14</f>
        <v>0</v>
      </c>
    </row>
    <row r="16" spans="1:3" s="386" customFormat="1" ht="17.399999999999999">
      <c r="A16" s="5027">
        <v>2</v>
      </c>
      <c r="B16" s="701" t="s">
        <v>20</v>
      </c>
      <c r="C16" s="5028">
        <f>SUM(C17:C18)</f>
        <v>80000</v>
      </c>
    </row>
    <row r="17" spans="1:3" hidden="1">
      <c r="A17" s="5031" t="s">
        <v>29</v>
      </c>
      <c r="B17" s="43" t="s">
        <v>790</v>
      </c>
      <c r="C17" s="5032">
        <f>+'Phụ lục 7-HĐND'!U16</f>
        <v>0</v>
      </c>
    </row>
    <row r="18" spans="1:3" hidden="1">
      <c r="A18" s="5033" t="s">
        <v>29</v>
      </c>
      <c r="B18" s="711" t="s">
        <v>791</v>
      </c>
      <c r="C18" s="5032">
        <f>+'Phụ lục 7-HĐND'!U17</f>
        <v>80000</v>
      </c>
    </row>
    <row r="19" spans="1:3" s="588" customFormat="1" ht="17.399999999999999">
      <c r="A19" s="5027">
        <v>3</v>
      </c>
      <c r="B19" s="701" t="s">
        <v>17</v>
      </c>
      <c r="C19" s="5028">
        <f>+'Phụ lục 7-HĐND'!U18</f>
        <v>75000</v>
      </c>
    </row>
    <row r="20" spans="1:3" s="588" customFormat="1" ht="17.399999999999999">
      <c r="A20" s="5027">
        <v>4</v>
      </c>
      <c r="B20" s="701" t="s">
        <v>792</v>
      </c>
      <c r="C20" s="5028">
        <f>+'Phụ lục 7-HĐND'!U19</f>
        <v>0</v>
      </c>
    </row>
    <row r="21" spans="1:3" s="588" customFormat="1" ht="17.399999999999999">
      <c r="A21" s="5027">
        <v>4</v>
      </c>
      <c r="B21" s="701" t="s">
        <v>97</v>
      </c>
      <c r="C21" s="5028">
        <f>+'Phụ lục 7-HĐND'!U20</f>
        <v>4300</v>
      </c>
    </row>
    <row r="22" spans="1:3">
      <c r="A22" s="5027">
        <v>5</v>
      </c>
      <c r="B22" s="701" t="s">
        <v>793</v>
      </c>
      <c r="C22" s="5028">
        <f>SUM(C23:C25)</f>
        <v>17000</v>
      </c>
    </row>
    <row r="23" spans="1:3">
      <c r="A23" s="5034" t="s">
        <v>29</v>
      </c>
      <c r="B23" s="43" t="s">
        <v>794</v>
      </c>
      <c r="C23" s="5032">
        <f>+'Phụ lục 7-HĐND'!U22</f>
        <v>4200</v>
      </c>
    </row>
    <row r="24" spans="1:3">
      <c r="A24" s="5034" t="s">
        <v>29</v>
      </c>
      <c r="B24" s="43" t="s">
        <v>795</v>
      </c>
      <c r="C24" s="5032">
        <f>+'Phụ lục 7-HĐND'!U23</f>
        <v>0</v>
      </c>
    </row>
    <row r="25" spans="1:3">
      <c r="A25" s="5034" t="s">
        <v>29</v>
      </c>
      <c r="B25" s="43" t="s">
        <v>796</v>
      </c>
      <c r="C25" s="5032">
        <f>+'Phụ lục 7-HĐND'!U24</f>
        <v>12800</v>
      </c>
    </row>
    <row r="26" spans="1:3">
      <c r="A26" s="5027">
        <v>6</v>
      </c>
      <c r="B26" s="701" t="s">
        <v>24</v>
      </c>
      <c r="C26" s="5028">
        <f>SUM(C27:C28)</f>
        <v>145000</v>
      </c>
    </row>
    <row r="27" spans="1:3">
      <c r="A27" s="5034" t="s">
        <v>29</v>
      </c>
      <c r="B27" s="43" t="s">
        <v>790</v>
      </c>
      <c r="C27" s="5032">
        <f>+'Phụ lục 7-HĐND'!U26</f>
        <v>0</v>
      </c>
    </row>
    <row r="28" spans="1:3">
      <c r="A28" s="5035" t="s">
        <v>29</v>
      </c>
      <c r="B28" s="711" t="s">
        <v>1809</v>
      </c>
      <c r="C28" s="5032">
        <f>+'Phụ lục 7-HĐND'!U27</f>
        <v>145000</v>
      </c>
    </row>
    <row r="29" spans="1:3">
      <c r="A29" s="5027">
        <v>7</v>
      </c>
      <c r="B29" s="701" t="s">
        <v>242</v>
      </c>
      <c r="C29" s="5028">
        <f>SUM(C30:C31)</f>
        <v>310000</v>
      </c>
    </row>
    <row r="30" spans="1:3">
      <c r="A30" s="5034" t="s">
        <v>29</v>
      </c>
      <c r="B30" s="43" t="s">
        <v>790</v>
      </c>
      <c r="C30" s="5032">
        <f>+'Phụ lục 7-HĐND'!U29</f>
        <v>150000</v>
      </c>
    </row>
    <row r="31" spans="1:3">
      <c r="A31" s="5035" t="s">
        <v>29</v>
      </c>
      <c r="B31" s="711" t="s">
        <v>1810</v>
      </c>
      <c r="C31" s="5032">
        <f>+'Phụ lục 7-HĐND'!U30</f>
        <v>160000</v>
      </c>
    </row>
    <row r="32" spans="1:3">
      <c r="A32" s="5027">
        <v>8</v>
      </c>
      <c r="B32" s="701" t="s">
        <v>798</v>
      </c>
      <c r="C32" s="5028">
        <f>SUM(C33:C35)</f>
        <v>90000</v>
      </c>
    </row>
    <row r="33" spans="1:3">
      <c r="A33" s="5034" t="s">
        <v>29</v>
      </c>
      <c r="B33" s="43" t="s">
        <v>799</v>
      </c>
      <c r="C33" s="5032">
        <f>+'Phụ lục 7-HĐND'!U32</f>
        <v>55000.000000000007</v>
      </c>
    </row>
    <row r="34" spans="1:3">
      <c r="A34" s="5034" t="s">
        <v>29</v>
      </c>
      <c r="B34" s="43" t="s">
        <v>800</v>
      </c>
      <c r="C34" s="5032">
        <f>+'Phụ lục 7-HĐND'!U33</f>
        <v>9500</v>
      </c>
    </row>
    <row r="35" spans="1:3">
      <c r="A35" s="5034" t="s">
        <v>29</v>
      </c>
      <c r="B35" s="43" t="s">
        <v>801</v>
      </c>
      <c r="C35" s="5032">
        <f>+'Phụ lục 7-HĐND'!U34</f>
        <v>25499.999999999993</v>
      </c>
    </row>
    <row r="36" spans="1:3">
      <c r="A36" s="5027">
        <v>9</v>
      </c>
      <c r="B36" s="5036" t="s">
        <v>1811</v>
      </c>
      <c r="C36" s="5028">
        <f>+'Phụ lục 7-HĐND'!U35</f>
        <v>200</v>
      </c>
    </row>
    <row r="37" spans="1:3">
      <c r="A37" s="5027" t="s">
        <v>33</v>
      </c>
      <c r="B37" s="701" t="s">
        <v>1812</v>
      </c>
      <c r="C37" s="5037"/>
    </row>
    <row r="38" spans="1:3">
      <c r="A38" s="5027"/>
      <c r="B38" s="704" t="s">
        <v>1813</v>
      </c>
      <c r="C38" s="5038">
        <v>1</v>
      </c>
    </row>
    <row r="39" spans="1:3" s="386" customFormat="1" ht="17.399999999999999">
      <c r="A39" s="4971" t="s">
        <v>182</v>
      </c>
      <c r="B39" s="4972" t="s">
        <v>802</v>
      </c>
      <c r="C39" s="626">
        <f>SUM(C40:C42)</f>
        <v>96559.929000000004</v>
      </c>
    </row>
    <row r="40" spans="1:3">
      <c r="A40" s="1926">
        <v>1</v>
      </c>
      <c r="B40" s="4968" t="s">
        <v>803</v>
      </c>
      <c r="C40" s="2608">
        <f>+'Phụ lục 7-HĐND'!U37</f>
        <v>37354</v>
      </c>
    </row>
    <row r="41" spans="1:3">
      <c r="A41" s="1926">
        <v>2</v>
      </c>
      <c r="B41" s="1927" t="s">
        <v>3136</v>
      </c>
      <c r="C41" s="2608">
        <f>+'Phụ lục 7-HĐND'!U38</f>
        <v>0</v>
      </c>
    </row>
    <row r="42" spans="1:3">
      <c r="A42" s="1926">
        <v>3</v>
      </c>
      <c r="B42" s="4968" t="s">
        <v>3206</v>
      </c>
      <c r="C42" s="2608">
        <f>+'Phụ lục 7-HĐND'!U39</f>
        <v>59205.928999999996</v>
      </c>
    </row>
    <row r="43" spans="1:3" ht="18.600000000000001" thickBot="1">
      <c r="A43" s="4539" t="s">
        <v>215</v>
      </c>
      <c r="B43" s="5042" t="s">
        <v>1721</v>
      </c>
      <c r="C43" s="5077">
        <f>+'Phụ lục 7-HĐND'!U40</f>
        <v>517247</v>
      </c>
    </row>
    <row r="44" spans="1:3" ht="18.600000000000001" thickTop="1">
      <c r="A44" s="2914"/>
      <c r="B44" s="2914" t="s">
        <v>809</v>
      </c>
      <c r="C44" s="2915"/>
    </row>
    <row r="46" spans="1:3">
      <c r="A46" s="6746" t="s">
        <v>1717</v>
      </c>
      <c r="B46" s="6746"/>
      <c r="C46" s="6746"/>
    </row>
    <row r="47" spans="1:3" ht="42.75" customHeight="1">
      <c r="A47" s="6761" t="str">
        <f>+'H. THANH BÌNH'!A47:C47</f>
        <v xml:space="preserve">(1): Dự toán thu ngân sách nhà nước năm 2025 không bao gồm các khoản huy động nhân dân đóng góp, các khoản ghi thu, ghi chi vào ngân sách nhà nước theo chế độ quy định.
</v>
      </c>
      <c r="B47" s="6761"/>
      <c r="C47" s="6761"/>
    </row>
    <row r="48" spans="1:3" ht="97.5" customHeight="1">
      <c r="A48" s="6761"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283" t="str">
        <f>+'H. THANH BÌNH'!A66:C66</f>
        <v>PHỤ LỤC II</v>
      </c>
      <c r="B65" s="6283"/>
      <c r="C65" s="6283"/>
    </row>
    <row r="66" spans="1:3">
      <c r="A66" s="6283" t="str">
        <f>+'H. THANH BÌNH'!A67:C67</f>
        <v>NHIỆM VỤ CHI NGÂN SÁCH HUYỆN, THÀNH PHỐ NĂM 2025</v>
      </c>
      <c r="B66" s="6283"/>
      <c r="C66" s="6283"/>
    </row>
    <row r="67" spans="1:3">
      <c r="A67" s="6283" t="str">
        <f>A3</f>
        <v>THÀNH PHỐ CAO LÃNH</v>
      </c>
      <c r="B67" s="6283"/>
      <c r="C67" s="6283"/>
    </row>
    <row r="68" spans="1:3">
      <c r="A68" s="6500" t="str">
        <f>A4</f>
        <v>(Kèm theo Quyết định số        /QĐ-UBND-HC ngày      /12/2024 của Uỷ ban nhân dân tỉnh Đồng Tháp)</v>
      </c>
      <c r="B68" s="6500"/>
      <c r="C68" s="6500"/>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THANH BÌNH'!B64</f>
        <v>Nội dung</v>
      </c>
      <c r="C71" s="4543" t="str">
        <f>C7</f>
        <v>Dự toán năm 2025</v>
      </c>
    </row>
    <row r="72" spans="1:3" s="588" customFormat="1" ht="17.399999999999999">
      <c r="A72" s="5049"/>
      <c r="B72" s="693" t="str">
        <f>'[2]H. THANH BÌNH'!B65</f>
        <v>Tổng chi (I+II+III+IV)</v>
      </c>
      <c r="C72" s="5024">
        <f>C73+C77+C81+C82+C83</f>
        <v>1814306.929</v>
      </c>
    </row>
    <row r="73" spans="1:3" s="588" customFormat="1" ht="17.399999999999999">
      <c r="A73" s="5050" t="s">
        <v>3</v>
      </c>
      <c r="B73" s="2910" t="str">
        <f>'[2]H. THANH BÌNH'!B66</f>
        <v>Chi đầu tư phát triển (1)</v>
      </c>
      <c r="C73" s="5028">
        <f>C75+C76</f>
        <v>292000</v>
      </c>
    </row>
    <row r="74" spans="1:3">
      <c r="A74" s="5051"/>
      <c r="B74" s="2916" t="str">
        <f>'[2]H. THANH BÌNH'!B67</f>
        <v>Bao gồm:</v>
      </c>
      <c r="C74" s="5032"/>
    </row>
    <row r="75" spans="1:3">
      <c r="A75" s="5052">
        <v>1</v>
      </c>
      <c r="B75" s="2917" t="str">
        <f>'[2]H. THANH BÌNH'!B68</f>
        <v>Chi đầu tư xây dựng cơ bản</v>
      </c>
      <c r="C75" s="5032">
        <f>+'Phụ lục 8-HĐND'!I9</f>
        <v>148000</v>
      </c>
    </row>
    <row r="76" spans="1:3">
      <c r="A76" s="5052">
        <v>2</v>
      </c>
      <c r="B76" s="2917" t="str">
        <f>'[2]H. THANH BÌNH'!B69</f>
        <v>Chi đầu tư từ nguồn thu tiền sử dụng đất</v>
      </c>
      <c r="C76" s="5032">
        <f>+'Phụ lục 8-HĐND'!I10</f>
        <v>144000</v>
      </c>
    </row>
    <row r="77" spans="1:3" s="588" customFormat="1" ht="17.399999999999999">
      <c r="A77" s="5050" t="s">
        <v>33</v>
      </c>
      <c r="B77" s="2910" t="str">
        <f>'[2]H. THANH BÌNH'!B70</f>
        <v>Chi thường xuyên (2)</v>
      </c>
      <c r="C77" s="5028">
        <f>+'Phụ lục 8-HĐND'!I11</f>
        <v>996810.69394587737</v>
      </c>
    </row>
    <row r="78" spans="1:3">
      <c r="A78" s="5053"/>
      <c r="B78" s="2907" t="str">
        <f>'[2]H. THANH BÌNH'!B71</f>
        <v>Bao gồm:</v>
      </c>
      <c r="C78" s="5032"/>
    </row>
    <row r="79" spans="1:3">
      <c r="A79" s="5052">
        <v>1</v>
      </c>
      <c r="B79" s="2909" t="str">
        <f>'[2]H. THANH BÌNH'!B72</f>
        <v>Sự nghiệp giáo dục - đào tạo (3)</v>
      </c>
      <c r="C79" s="5032">
        <f>+'Phụ lục 8-HĐND'!I13</f>
        <v>481230</v>
      </c>
    </row>
    <row r="80" spans="1:3">
      <c r="A80" s="5052">
        <v>2</v>
      </c>
      <c r="B80" s="2909" t="str">
        <f>'[2]H. THANH BÌNH'!B73</f>
        <v>Các khoản chi thường xuyên còn lại</v>
      </c>
      <c r="C80" s="5032">
        <f>+'Phụ lục 8-HĐND'!I14</f>
        <v>515580.69394587737</v>
      </c>
    </row>
    <row r="81" spans="1:3" s="588" customFormat="1" ht="17.399999999999999">
      <c r="A81" s="5050" t="s">
        <v>182</v>
      </c>
      <c r="B81" s="2910" t="str">
        <f>'[2]H. THANH BÌNH'!B74</f>
        <v>Dự phòng ngân sách</v>
      </c>
      <c r="C81" s="5028">
        <f>+'Phụ lục 8-HĐND'!I15</f>
        <v>29340</v>
      </c>
    </row>
    <row r="82" spans="1:3" s="588" customFormat="1" ht="17.399999999999999">
      <c r="A82" s="5050" t="s">
        <v>215</v>
      </c>
      <c r="B82" s="2910" t="str">
        <f>'[2]H. THANH BÌNH'!B75</f>
        <v>Chi tạo nguồn cải cách tiền lương</v>
      </c>
      <c r="C82" s="5028">
        <f>+'Phụ lục 8-HĐND'!I16</f>
        <v>479075</v>
      </c>
    </row>
    <row r="83" spans="1:3" s="588" customFormat="1" ht="17.399999999999999">
      <c r="A83" s="5073" t="s">
        <v>718</v>
      </c>
      <c r="B83" s="701" t="str">
        <f>'[2]H. THANH BÌNH'!B76</f>
        <v>Chi từ nguồn ngân sách cấp Tỉnh bổ sung có mục tiêu</v>
      </c>
      <c r="C83" s="5028">
        <f>SUM(C84:C88)</f>
        <v>17081.235054122637</v>
      </c>
    </row>
    <row r="84" spans="1:3">
      <c r="A84" s="5055" t="s">
        <v>29</v>
      </c>
      <c r="B84" s="704" t="str">
        <f>+'H. THANH BÌNH'!B85</f>
        <v>Chi đầu tư xây dựng cơ bản</v>
      </c>
      <c r="C84" s="5032">
        <f>+'Phụ lục 8-HĐND'!I18</f>
        <v>0</v>
      </c>
    </row>
    <row r="85" spans="1:3">
      <c r="A85" s="5055" t="s">
        <v>29</v>
      </c>
      <c r="B85" s="704" t="str">
        <f>+'H. THANH BÌNH'!B86</f>
        <v>Chi đầu tư từ nguồn xổ số kiến thiết</v>
      </c>
      <c r="C85" s="5032">
        <f>+'Phụ lục 8-HĐND'!I19</f>
        <v>0</v>
      </c>
    </row>
    <row r="86" spans="1:3">
      <c r="A86" s="5055" t="s">
        <v>29</v>
      </c>
      <c r="B86" s="2901" t="str">
        <f>+'H. THANH BÌNH'!B87</f>
        <v>Chi từ nguồn ngân sách trung ương bổ sung có mục tiêu (kinh phí biên chế giáo viên tăng thêm)</v>
      </c>
      <c r="C86" s="5032">
        <f>+'Phụ lục 8-HĐND'!I20</f>
        <v>1094</v>
      </c>
    </row>
    <row r="87" spans="1:3">
      <c r="A87" s="5056" t="s">
        <v>29</v>
      </c>
      <c r="B87" s="2901" t="str">
        <f>+'H. THANH BÌNH'!B88</f>
        <v>Chi từ nguồn ngân sách trung ương bổ sung có mục tiêu (kinh phí hỗ trợ địa phương sản xuất lúa năm 2025)</v>
      </c>
      <c r="C87" s="5032">
        <f>+'Phụ lục 8-HĐND'!I21</f>
        <v>1500</v>
      </c>
    </row>
    <row r="88" spans="1:3" ht="18.600000000000001" thickBot="1">
      <c r="A88" s="5057"/>
      <c r="B88" s="5891" t="str">
        <f>+'H. THANH BÌNH'!B89</f>
        <v>Chi từ nguồn ngân sách trung ương bổ sung có mục tiêu (chính sách an sinh xã hội năm 2025)</v>
      </c>
      <c r="C88" s="5059">
        <f>+'Phụ lục 8-HĐND'!I22</f>
        <v>14487.235054122637</v>
      </c>
    </row>
    <row r="89" spans="1:3" ht="18.600000000000001" thickTop="1"/>
    <row r="90" spans="1:3">
      <c r="A90" s="588" t="s">
        <v>1717</v>
      </c>
      <c r="B90" s="2903"/>
    </row>
    <row r="91" spans="1:3">
      <c r="A91" s="6763" t="s">
        <v>1828</v>
      </c>
      <c r="B91" s="6764"/>
      <c r="C91" s="6764"/>
    </row>
    <row r="92" spans="1:3">
      <c r="A92" s="6774"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71"/>
      <c r="C92" s="6771"/>
    </row>
    <row r="93" spans="1:3">
      <c r="A93" s="6771" t="str">
        <f>+'H. THANH BÌNH'!A94:C94</f>
        <v>- Chưa bao gồm chi đầu tư từ nguồn vốn do ngân sách cấp tỉnh quản lý và phân bổ bổ sung có mục tiêu cho ngân sách huyện, thành phố</v>
      </c>
      <c r="B93" s="6771"/>
      <c r="C93" s="6771"/>
    </row>
    <row r="94" spans="1:3">
      <c r="A94" s="6766" t="s">
        <v>1829</v>
      </c>
      <c r="B94" s="6766"/>
      <c r="C94" s="6766"/>
    </row>
    <row r="95" spans="1:3" ht="65.25" customHeight="1">
      <c r="A95" s="6771"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71"/>
      <c r="C95" s="6771"/>
    </row>
    <row r="96" spans="1:3" ht="41.25" customHeight="1">
      <c r="A96" s="6772"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2"/>
      <c r="C96" s="6772"/>
    </row>
    <row r="97" spans="1:3">
      <c r="A97" s="381" t="str">
        <f>+'H. THANH BÌNH'!A98</f>
        <v xml:space="preserve">- Bao gồm 10% tiết kiệm tăng thêm năm 2025 so với năm 2024 để thực hiện cải cách tiền lương năm 2025 là: </v>
      </c>
      <c r="C97" s="2912" t="s">
        <v>3274</v>
      </c>
    </row>
    <row r="98" spans="1:3">
      <c r="A98" s="6782" t="str">
        <f>'[2]H. THANH BÌNH'!A91</f>
        <v>(3): Trong đó:</v>
      </c>
      <c r="B98" s="6782"/>
      <c r="C98" s="6782"/>
    </row>
    <row r="99" spans="1:3" ht="63" customHeight="1">
      <c r="A99" s="6771"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71"/>
      <c r="C99" s="6771"/>
    </row>
    <row r="125" spans="1:3">
      <c r="A125" s="6283" t="str">
        <f>+'H. THANH BÌNH'!A129:C129</f>
        <v>PHỤ LỤC III</v>
      </c>
      <c r="B125" s="6283"/>
      <c r="C125" s="6283"/>
    </row>
    <row r="126" spans="1:3">
      <c r="A126" s="6283" t="str">
        <f>+'H. THANH BÌNH'!A130:C130</f>
        <v>CHI TỪ NGUỒN NGÂN SÁCH CẤP TỈNH BỔ SUNG CÓ MỤC TIÊU NĂM 2025</v>
      </c>
      <c r="B126" s="6283"/>
      <c r="C126" s="6283"/>
    </row>
    <row r="127" spans="1:3">
      <c r="A127" s="6283" t="str">
        <f>A67</f>
        <v>THÀNH PHỐ CAO LÃNH</v>
      </c>
      <c r="B127" s="6283"/>
      <c r="C127" s="6283"/>
    </row>
    <row r="128" spans="1:3">
      <c r="A128" s="6498" t="str">
        <f>+A68</f>
        <v>(Kèm theo Quyết định số        /QĐ-UBND-HC ngày      /12/2024 của Uỷ ban nhân dân tỉnh Đồng Tháp)</v>
      </c>
      <c r="B128" s="6498"/>
      <c r="C128" s="6498"/>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59205.929000000004</v>
      </c>
      <c r="E132" s="667">
        <f>+C42-C132</f>
        <v>0</v>
      </c>
    </row>
    <row r="133" spans="1:5" ht="36">
      <c r="A133" s="593">
        <v>1</v>
      </c>
      <c r="B133" s="5022" t="s">
        <v>805</v>
      </c>
      <c r="C133" s="4538">
        <f>+'Phụ lục số 8.1'!BD14</f>
        <v>20149.2</v>
      </c>
    </row>
    <row r="134" spans="1:5">
      <c r="A134" s="593">
        <v>2</v>
      </c>
      <c r="B134" s="5022" t="str">
        <f>+'H. THANH BÌNH'!B138</f>
        <v>Kinh phí hỗ trợ địa phương sản xuất lúa</v>
      </c>
      <c r="C134" s="4538">
        <f>+'Phụ lục số 8.1'!BD15</f>
        <v>5500</v>
      </c>
    </row>
    <row r="135" spans="1:5">
      <c r="A135" s="593">
        <v>3</v>
      </c>
      <c r="B135" s="5022" t="str">
        <f>+'H. THANH BÌNH'!B139</f>
        <v>Kinh phí biên chế giáo viên tăng thêm</v>
      </c>
      <c r="C135" s="4538">
        <f>+'Phụ lục số 8.1'!BD18</f>
        <v>1094</v>
      </c>
    </row>
    <row r="136" spans="1:5" ht="36">
      <c r="A136" s="593">
        <v>4</v>
      </c>
      <c r="B136" s="2525" t="s">
        <v>1608</v>
      </c>
      <c r="C136" s="4538">
        <f>+'Phụ lục số 8.3-CĐCS'!CU13</f>
        <v>61</v>
      </c>
    </row>
    <row r="137" spans="1:5">
      <c r="A137" s="593">
        <v>5</v>
      </c>
      <c r="B137" s="5154" t="s">
        <v>3197</v>
      </c>
      <c r="C137" s="5018">
        <v>0</v>
      </c>
    </row>
    <row r="138" spans="1:5" ht="36">
      <c r="A138" s="593">
        <v>6</v>
      </c>
      <c r="B138" s="2525" t="s">
        <v>3198</v>
      </c>
      <c r="C138" s="5018">
        <v>0</v>
      </c>
    </row>
    <row r="139" spans="1:5" ht="36">
      <c r="A139" s="593">
        <v>7</v>
      </c>
      <c r="B139" s="2525" t="s">
        <v>3199</v>
      </c>
      <c r="C139" s="5018">
        <f>+'Phụ lục số 8.3-CĐCS'!CU17+'Phụ lục số 8.3-CĐCS'!CU14+'Phụ lục số 8.3-CĐCS'!CU18</f>
        <v>26812.2</v>
      </c>
    </row>
    <row r="140" spans="1:5" ht="36">
      <c r="A140" s="593">
        <v>8</v>
      </c>
      <c r="B140" s="2525" t="s">
        <v>1093</v>
      </c>
      <c r="C140" s="5017">
        <v>0</v>
      </c>
    </row>
    <row r="141" spans="1:5" ht="36">
      <c r="A141" s="593">
        <v>9</v>
      </c>
      <c r="B141" s="5012" t="s">
        <v>3156</v>
      </c>
      <c r="C141" s="5018">
        <f>+'Phụ lục số 8.1'!BD20</f>
        <v>993.96</v>
      </c>
    </row>
    <row r="142" spans="1:5">
      <c r="A142" s="593">
        <v>10</v>
      </c>
      <c r="B142" s="5013" t="s">
        <v>1510</v>
      </c>
      <c r="C142" s="5018">
        <f>+'Phụ lục số 8.1'!BD21</f>
        <v>0</v>
      </c>
    </row>
    <row r="143" spans="1:5">
      <c r="A143" s="593">
        <v>11</v>
      </c>
      <c r="B143" s="5013" t="str">
        <f>+'H. THANH BÌNH'!B147</f>
        <v>Kinh phí thực hiện hỗ trợ đào tạo nghề trình độ sơ cấp và đào tạo dưới 03 tháng năm 2025</v>
      </c>
      <c r="C143" s="5018"/>
    </row>
    <row r="144" spans="1:5" ht="18.600000000000001" thickBot="1">
      <c r="A144" s="5019">
        <v>12</v>
      </c>
      <c r="B144" s="5192" t="str">
        <f>+'H. THANH BÌNH'!B148</f>
        <v>Kinh phí tổ chức đại hội Đảng nhiệm kỳ 2025 - 2030</v>
      </c>
      <c r="C144" s="5021">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+'TP. CAO LÃNH'!A1:C1</f>
        <v>PHỤ LỤC I</v>
      </c>
      <c r="B1" s="6283"/>
      <c r="C1" s="6283"/>
    </row>
    <row r="2" spans="1:3">
      <c r="A2" s="6283" t="str">
        <f>+'TP. CAO LÃNH'!A2:C2</f>
        <v>NHIỆM VỤ THU NGÂN SÁCH NHÀ NƯỚC NĂM 2025</v>
      </c>
      <c r="B2" s="6283"/>
      <c r="C2" s="6283"/>
    </row>
    <row r="3" spans="1:3">
      <c r="A3" s="6283" t="s">
        <v>1493</v>
      </c>
      <c r="B3" s="6283"/>
      <c r="C3" s="6283"/>
    </row>
    <row r="4" spans="1:3">
      <c r="A4" s="6500" t="str">
        <f>+'TP. CAO LÃNH'!A4:C4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266950</v>
      </c>
    </row>
    <row r="9" spans="1:3" s="873" customFormat="1">
      <c r="A9" s="5025"/>
      <c r="B9" s="697" t="s">
        <v>784</v>
      </c>
      <c r="C9" s="5078">
        <f>C8-C29</f>
        <v>191950</v>
      </c>
    </row>
    <row r="10" spans="1:3">
      <c r="A10" s="5027">
        <v>1</v>
      </c>
      <c r="B10" s="701" t="s">
        <v>1477</v>
      </c>
      <c r="C10" s="5028">
        <f>SUM(C11:C15)</f>
        <v>80000</v>
      </c>
    </row>
    <row r="11" spans="1:3">
      <c r="A11" s="5029" t="s">
        <v>29</v>
      </c>
      <c r="B11" s="704" t="s">
        <v>786</v>
      </c>
      <c r="C11" s="5032">
        <f>+'Phụ lục 7-HĐND'!X10</f>
        <v>49200</v>
      </c>
    </row>
    <row r="12" spans="1:3">
      <c r="A12" s="5029" t="s">
        <v>29</v>
      </c>
      <c r="B12" s="704" t="s">
        <v>787</v>
      </c>
      <c r="C12" s="5032">
        <f>+'Phụ lục 7-HĐND'!X11</f>
        <v>28000</v>
      </c>
    </row>
    <row r="13" spans="1:3">
      <c r="A13" s="5029" t="s">
        <v>29</v>
      </c>
      <c r="B13" s="704" t="s">
        <v>788</v>
      </c>
      <c r="C13" s="5032">
        <f>+'Phụ lục 7-HĐND'!X12</f>
        <v>200</v>
      </c>
    </row>
    <row r="14" spans="1:3">
      <c r="A14" s="5029" t="s">
        <v>29</v>
      </c>
      <c r="B14" s="704" t="s">
        <v>10</v>
      </c>
      <c r="C14" s="5032">
        <f>+'Phụ lục 7-HĐND'!X13</f>
        <v>2600</v>
      </c>
    </row>
    <row r="15" spans="1:3">
      <c r="A15" s="5029" t="s">
        <v>29</v>
      </c>
      <c r="B15" s="704" t="s">
        <v>789</v>
      </c>
      <c r="C15" s="5032">
        <f>+'Phụ lục 7-HĐND'!X14</f>
        <v>0</v>
      </c>
    </row>
    <row r="16" spans="1:3" s="386" customFormat="1" ht="17.399999999999999">
      <c r="A16" s="5027">
        <v>2</v>
      </c>
      <c r="B16" s="701" t="s">
        <v>20</v>
      </c>
      <c r="C16" s="5028">
        <f>SUM(C17:C18)</f>
        <v>32000</v>
      </c>
    </row>
    <row r="17" spans="1:3" hidden="1">
      <c r="A17" s="5031" t="s">
        <v>29</v>
      </c>
      <c r="B17" s="43" t="s">
        <v>790</v>
      </c>
      <c r="C17" s="5032">
        <f>+'Phụ lục 7-HĐND'!X16</f>
        <v>0</v>
      </c>
    </row>
    <row r="18" spans="1:3" hidden="1">
      <c r="A18" s="5033" t="s">
        <v>29</v>
      </c>
      <c r="B18" s="711" t="s">
        <v>791</v>
      </c>
      <c r="C18" s="5032">
        <f>+'Phụ lục 7-HĐND'!X17</f>
        <v>32000</v>
      </c>
    </row>
    <row r="19" spans="1:3" s="386" customFormat="1" ht="17.399999999999999">
      <c r="A19" s="5027">
        <v>3</v>
      </c>
      <c r="B19" s="701" t="s">
        <v>17</v>
      </c>
      <c r="C19" s="5028">
        <f>+'Phụ lục 7-HĐND'!X18</f>
        <v>37000</v>
      </c>
    </row>
    <row r="20" spans="1:3" s="386" customFormat="1" ht="17.399999999999999">
      <c r="A20" s="5027">
        <v>4</v>
      </c>
      <c r="B20" s="701" t="s">
        <v>792</v>
      </c>
      <c r="C20" s="5028">
        <f>+'Phụ lục 7-HĐND'!X19</f>
        <v>0</v>
      </c>
    </row>
    <row r="21" spans="1:3" s="386" customFormat="1" ht="17.399999999999999">
      <c r="A21" s="5027">
        <v>4</v>
      </c>
      <c r="B21" s="701" t="s">
        <v>97</v>
      </c>
      <c r="C21" s="5028">
        <f>+'Phụ lục 7-HĐND'!X20</f>
        <v>2250</v>
      </c>
    </row>
    <row r="22" spans="1:3">
      <c r="A22" s="5027">
        <v>5</v>
      </c>
      <c r="B22" s="701" t="s">
        <v>793</v>
      </c>
      <c r="C22" s="5028">
        <f>SUM(C23:C25)</f>
        <v>10000</v>
      </c>
    </row>
    <row r="23" spans="1:3">
      <c r="A23" s="5034" t="s">
        <v>29</v>
      </c>
      <c r="B23" s="43" t="s">
        <v>794</v>
      </c>
      <c r="C23" s="5032">
        <f>+'Phụ lục 7-HĐND'!X22</f>
        <v>2400</v>
      </c>
    </row>
    <row r="24" spans="1:3">
      <c r="A24" s="5034" t="s">
        <v>29</v>
      </c>
      <c r="B24" s="43" t="s">
        <v>795</v>
      </c>
      <c r="C24" s="5032">
        <f>+'Phụ lục 7-HĐND'!X23</f>
        <v>0</v>
      </c>
    </row>
    <row r="25" spans="1:3">
      <c r="A25" s="5034" t="s">
        <v>29</v>
      </c>
      <c r="B25" s="43" t="s">
        <v>796</v>
      </c>
      <c r="C25" s="5032">
        <f>+'Phụ lục 7-HĐND'!X24</f>
        <v>7600</v>
      </c>
    </row>
    <row r="26" spans="1:3">
      <c r="A26" s="5027">
        <v>6</v>
      </c>
      <c r="B26" s="701" t="s">
        <v>24</v>
      </c>
      <c r="C26" s="5028">
        <f>SUM(C27:C28)</f>
        <v>4500</v>
      </c>
    </row>
    <row r="27" spans="1:3">
      <c r="A27" s="5034" t="s">
        <v>29</v>
      </c>
      <c r="B27" s="43" t="s">
        <v>790</v>
      </c>
      <c r="C27" s="5032">
        <f>+'Phụ lục 7-HĐND'!X26</f>
        <v>0</v>
      </c>
    </row>
    <row r="28" spans="1:3">
      <c r="A28" s="5035" t="s">
        <v>29</v>
      </c>
      <c r="B28" s="711" t="s">
        <v>1809</v>
      </c>
      <c r="C28" s="5032">
        <f>+'Phụ lục 7-HĐND'!X27</f>
        <v>4500</v>
      </c>
    </row>
    <row r="29" spans="1:3">
      <c r="A29" s="5027">
        <v>7</v>
      </c>
      <c r="B29" s="701" t="s">
        <v>242</v>
      </c>
      <c r="C29" s="5028">
        <f>SUM(C30:C31)</f>
        <v>75000</v>
      </c>
    </row>
    <row r="30" spans="1:3">
      <c r="A30" s="5034" t="s">
        <v>29</v>
      </c>
      <c r="B30" s="43" t="s">
        <v>790</v>
      </c>
      <c r="C30" s="5032">
        <f>+'Phụ lục 7-HĐND'!X29</f>
        <v>0</v>
      </c>
    </row>
    <row r="31" spans="1:3">
      <c r="A31" s="5035" t="s">
        <v>29</v>
      </c>
      <c r="B31" s="711" t="s">
        <v>1810</v>
      </c>
      <c r="C31" s="5032">
        <f>+'Phụ lục 7-HĐND'!X30</f>
        <v>75000</v>
      </c>
    </row>
    <row r="32" spans="1:3">
      <c r="A32" s="5027">
        <v>8</v>
      </c>
      <c r="B32" s="701" t="s">
        <v>798</v>
      </c>
      <c r="C32" s="5028">
        <f>SUM(C33:C35)</f>
        <v>26000</v>
      </c>
    </row>
    <row r="33" spans="1:3">
      <c r="A33" s="5034" t="s">
        <v>29</v>
      </c>
      <c r="B33" s="43" t="s">
        <v>799</v>
      </c>
      <c r="C33" s="5032">
        <f>+'Phụ lục 7-HĐND'!X32</f>
        <v>5500</v>
      </c>
    </row>
    <row r="34" spans="1:3">
      <c r="A34" s="5034" t="s">
        <v>29</v>
      </c>
      <c r="B34" s="43" t="s">
        <v>800</v>
      </c>
      <c r="C34" s="5032">
        <f>+'Phụ lục 7-HĐND'!X33</f>
        <v>4500</v>
      </c>
    </row>
    <row r="35" spans="1:3">
      <c r="A35" s="5034" t="s">
        <v>29</v>
      </c>
      <c r="B35" s="43" t="s">
        <v>801</v>
      </c>
      <c r="C35" s="5032">
        <f>+'Phụ lục 7-HĐND'!X34</f>
        <v>16000</v>
      </c>
    </row>
    <row r="36" spans="1:3">
      <c r="A36" s="5027">
        <v>9</v>
      </c>
      <c r="B36" s="5036" t="s">
        <v>1811</v>
      </c>
      <c r="C36" s="5028">
        <f>+'Phụ lục 7-HĐND'!X35</f>
        <v>200</v>
      </c>
    </row>
    <row r="37" spans="1:3">
      <c r="A37" s="5027" t="s">
        <v>33</v>
      </c>
      <c r="B37" s="701" t="s">
        <v>1812</v>
      </c>
      <c r="C37" s="5037"/>
    </row>
    <row r="38" spans="1:3">
      <c r="A38" s="5027"/>
      <c r="B38" s="704" t="s">
        <v>1813</v>
      </c>
      <c r="C38" s="5038">
        <v>1</v>
      </c>
    </row>
    <row r="39" spans="1:3">
      <c r="A39" s="4971" t="s">
        <v>182</v>
      </c>
      <c r="B39" s="4972" t="s">
        <v>802</v>
      </c>
      <c r="C39" s="613">
        <f>SUM(C40:C42)</f>
        <v>904084.62100000004</v>
      </c>
    </row>
    <row r="40" spans="1:3">
      <c r="A40" s="1926">
        <v>1</v>
      </c>
      <c r="B40" s="4968" t="s">
        <v>803</v>
      </c>
      <c r="C40" s="2608">
        <f>+'Phụ lục 7-HĐND'!X37</f>
        <v>566422</v>
      </c>
    </row>
    <row r="41" spans="1:3">
      <c r="A41" s="1926">
        <v>2</v>
      </c>
      <c r="B41" s="1927" t="s">
        <v>3136</v>
      </c>
      <c r="C41" s="2608">
        <f>+'Phụ lục 7-HĐND'!X38</f>
        <v>199350</v>
      </c>
    </row>
    <row r="42" spans="1:3">
      <c r="A42" s="1926">
        <v>3</v>
      </c>
      <c r="B42" s="4968" t="s">
        <v>3206</v>
      </c>
      <c r="C42" s="2608">
        <f>+'Phụ lục 7-HĐND'!X39</f>
        <v>138312.62099999998</v>
      </c>
    </row>
    <row r="43" spans="1:3" ht="18.600000000000001" thickBot="1">
      <c r="A43" s="4539" t="s">
        <v>215</v>
      </c>
      <c r="B43" s="5042" t="s">
        <v>1721</v>
      </c>
      <c r="C43" s="5043">
        <f>+'Phụ lục 7-HĐND'!X40</f>
        <v>45892</v>
      </c>
    </row>
    <row r="44" spans="1:3" ht="18.600000000000001" thickTop="1">
      <c r="A44" s="2914"/>
      <c r="B44" s="2914" t="s">
        <v>809</v>
      </c>
      <c r="C44" s="2915"/>
    </row>
    <row r="46" spans="1:3">
      <c r="A46" s="6746" t="s">
        <v>1717</v>
      </c>
      <c r="B46" s="6746"/>
      <c r="C46" s="6746"/>
    </row>
    <row r="47" spans="1:3">
      <c r="A47" s="6761" t="str">
        <f>+'TP. CAO LÃNH'!A47:C47</f>
        <v xml:space="preserve">(1): Dự toán thu ngân sách nhà nước năm 2025 không bao gồm các khoản huy động nhân dân đóng góp, các khoản ghi thu, ghi chi vào ngân sách nhà nước theo chế độ quy định.
</v>
      </c>
      <c r="B47" s="6761"/>
      <c r="C47" s="6761"/>
    </row>
    <row r="48" spans="1:3" ht="106.5" customHeight="1">
      <c r="A48" s="6761"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283" t="str">
        <f>+'TP. CAO LÃNH'!A65:C65</f>
        <v>PHỤ LỤC II</v>
      </c>
      <c r="B66" s="6283"/>
      <c r="C66" s="6283"/>
    </row>
    <row r="67" spans="1:3">
      <c r="A67" s="6283" t="str">
        <f>+'TP. CAO LÃNH'!A66:C66</f>
        <v>NHIỆM VỤ CHI NGÂN SÁCH HUYỆN, THÀNH PHỐ NĂM 2025</v>
      </c>
      <c r="B67" s="6283"/>
      <c r="C67" s="6283"/>
    </row>
    <row r="68" spans="1:3">
      <c r="A68" s="6283" t="str">
        <f>A3</f>
        <v>HUYỆN CAO LÃNH</v>
      </c>
      <c r="B68" s="6283"/>
      <c r="C68" s="6283"/>
    </row>
    <row r="69" spans="1:3">
      <c r="A69" s="6500" t="str">
        <f>A4</f>
        <v>(Kèm theo Quyết định số        /QĐ-UBND-HC ngày      /12/2024 của Uỷ ban nhân dân tỉnh Đồng Tháp)</v>
      </c>
      <c r="B69" s="6500"/>
      <c r="C69" s="6500"/>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tr">
        <f>'[2]TP. CAO LÃNH'!B64</f>
        <v>Nội dung</v>
      </c>
      <c r="C72" s="4543" t="str">
        <f>C7</f>
        <v>Dự toán năm 2025</v>
      </c>
    </row>
    <row r="73" spans="1:3">
      <c r="A73" s="5049"/>
      <c r="B73" s="693" t="str">
        <f>'[2]TP. CAO LÃNH'!B65</f>
        <v>Tổng chi (I+II+III+IV)</v>
      </c>
      <c r="C73" s="5024">
        <f>C74+C78+C82+C83+C84</f>
        <v>1193776.621</v>
      </c>
    </row>
    <row r="74" spans="1:3" s="588" customFormat="1" ht="17.399999999999999">
      <c r="A74" s="5050" t="s">
        <v>3</v>
      </c>
      <c r="B74" s="2910" t="str">
        <f>'[2]TP. CAO LÃNH'!B66</f>
        <v>Chi đầu tư phát triển (1)</v>
      </c>
      <c r="C74" s="5028">
        <f>C76+C77</f>
        <v>114500</v>
      </c>
    </row>
    <row r="75" spans="1:3">
      <c r="A75" s="5051"/>
      <c r="B75" s="2916" t="str">
        <f>'[2]TP. CAO LÃNH'!B67</f>
        <v>Bao gồm:</v>
      </c>
      <c r="C75" s="5032"/>
    </row>
    <row r="76" spans="1:3">
      <c r="A76" s="5052">
        <v>1</v>
      </c>
      <c r="B76" s="2917" t="str">
        <f>'[2]TP. CAO LÃNH'!B68</f>
        <v>Chi đầu tư xây dựng cơ bản</v>
      </c>
      <c r="C76" s="5032">
        <f>+'Phụ lục 8-HĐND'!J9</f>
        <v>47000</v>
      </c>
    </row>
    <row r="77" spans="1:3">
      <c r="A77" s="5052">
        <v>2</v>
      </c>
      <c r="B77" s="2917" t="str">
        <f>'[2]TP. CAO LÃNH'!B69</f>
        <v>Chi đầu tư từ nguồn thu tiền sử dụng đất</v>
      </c>
      <c r="C77" s="5032">
        <f>+'Phụ lục 8-HĐND'!J10</f>
        <v>67500</v>
      </c>
    </row>
    <row r="78" spans="1:3">
      <c r="A78" s="5050" t="s">
        <v>33</v>
      </c>
      <c r="B78" s="2910" t="str">
        <f>'[2]TP. CAO LÃNH'!B70</f>
        <v>Chi thường xuyên (2)</v>
      </c>
      <c r="C78" s="5028">
        <f>+'Phụ lục 8-HĐND'!J11</f>
        <v>1019433.2963639069</v>
      </c>
    </row>
    <row r="79" spans="1:3">
      <c r="A79" s="5053"/>
      <c r="B79" s="2907" t="str">
        <f>'[2]TP. CAO LÃNH'!B71</f>
        <v>Bao gồm:</v>
      </c>
      <c r="C79" s="5032"/>
    </row>
    <row r="80" spans="1:3">
      <c r="A80" s="5052">
        <v>1</v>
      </c>
      <c r="B80" s="2909" t="str">
        <f>'[2]TP. CAO LÃNH'!B72</f>
        <v>Sự nghiệp giáo dục - đào tạo (3)</v>
      </c>
      <c r="C80" s="5032">
        <f>+'Phụ lục 8-HĐND'!J13</f>
        <v>538158.5</v>
      </c>
    </row>
    <row r="81" spans="1:3">
      <c r="A81" s="5052">
        <v>2</v>
      </c>
      <c r="B81" s="2909" t="str">
        <f>'[2]TP. CAO LÃNH'!B73</f>
        <v>Các khoản chi thường xuyên còn lại</v>
      </c>
      <c r="C81" s="5032">
        <f>+'Phụ lục 8-HĐND'!J14</f>
        <v>481274.79636390693</v>
      </c>
    </row>
    <row r="82" spans="1:3" s="386" customFormat="1" ht="17.399999999999999">
      <c r="A82" s="5050" t="s">
        <v>182</v>
      </c>
      <c r="B82" s="2910" t="str">
        <f>'[2]TP. CAO LÃNH'!B74</f>
        <v>Dự phòng ngân sách</v>
      </c>
      <c r="C82" s="5028">
        <f>+'Phụ lục 8-HĐND'!J15</f>
        <v>21524.6</v>
      </c>
    </row>
    <row r="83" spans="1:3" s="386" customFormat="1" ht="17.399999999999999">
      <c r="A83" s="5050" t="s">
        <v>215</v>
      </c>
      <c r="B83" s="2910" t="str">
        <f>'[2]TP. CAO LÃNH'!B75</f>
        <v>Chi tạo nguồn cải cách tiền lương</v>
      </c>
      <c r="C83" s="5028">
        <f>+'Phụ lục 8-HĐND'!J16</f>
        <v>0</v>
      </c>
    </row>
    <row r="84" spans="1:3" s="386" customFormat="1" ht="17.399999999999999">
      <c r="A84" s="5073" t="s">
        <v>718</v>
      </c>
      <c r="B84" s="701" t="str">
        <f>'[2]TP. CAO LÃNH'!B76</f>
        <v>Chi từ nguồn ngân sách cấp Tỉnh bổ sung có mục tiêu</v>
      </c>
      <c r="C84" s="5028">
        <f>SUM(C85:C89)</f>
        <v>38318.724636092986</v>
      </c>
    </row>
    <row r="85" spans="1:3">
      <c r="A85" s="5055" t="s">
        <v>29</v>
      </c>
      <c r="B85" s="704" t="str">
        <f>+'TP. CAO LÃNH'!B84</f>
        <v>Chi đầu tư xây dựng cơ bản</v>
      </c>
      <c r="C85" s="5032">
        <f>+'Phụ lục 8-HĐND'!J18</f>
        <v>0</v>
      </c>
    </row>
    <row r="86" spans="1:3">
      <c r="A86" s="5055" t="s">
        <v>29</v>
      </c>
      <c r="B86" s="2901" t="str">
        <f>+'TP. CAO LÃNH'!B85</f>
        <v>Chi đầu tư từ nguồn xổ số kiến thiết</v>
      </c>
      <c r="C86" s="5032">
        <f>+'Phụ lục 8-HĐND'!J19</f>
        <v>0</v>
      </c>
    </row>
    <row r="87" spans="1:3">
      <c r="A87" s="5055" t="s">
        <v>29</v>
      </c>
      <c r="B87" s="2901" t="str">
        <f>+'TP. CAO LÃNH'!B86</f>
        <v>Chi từ nguồn ngân sách trung ương bổ sung có mục tiêu (kinh phí biên chế giáo viên tăng thêm)</v>
      </c>
      <c r="C87" s="5032">
        <f>+'Phụ lục 8-HĐND'!J20</f>
        <v>1123</v>
      </c>
    </row>
    <row r="88" spans="1:3">
      <c r="A88" s="5056" t="s">
        <v>29</v>
      </c>
      <c r="B88" s="2901" t="str">
        <f>+'TP. CAO LÃNH'!B87</f>
        <v>Chi từ nguồn ngân sách trung ương bổ sung có mục tiêu (kinh phí hỗ trợ địa phương sản xuất lúa năm 2025)</v>
      </c>
      <c r="C88" s="5032">
        <f>+'Phụ lục 8-HĐND'!J21</f>
        <v>13000</v>
      </c>
    </row>
    <row r="89" spans="1:3" ht="18.600000000000001" thickBot="1">
      <c r="A89" s="5057"/>
      <c r="B89" s="5891" t="str">
        <f>+'TP. CAO LÃNH'!B88</f>
        <v>Chi từ nguồn ngân sách trung ương bổ sung có mục tiêu (chính sách an sinh xã hội năm 2025)</v>
      </c>
      <c r="C89" s="5059">
        <f>+'Phụ lục 8-HĐND'!J22</f>
        <v>24195.724636092982</v>
      </c>
    </row>
    <row r="90" spans="1:3" ht="18.600000000000001" thickTop="1"/>
    <row r="91" spans="1:3">
      <c r="A91" s="588" t="s">
        <v>1717</v>
      </c>
      <c r="B91" s="2903"/>
    </row>
    <row r="92" spans="1:3" s="2705" customFormat="1">
      <c r="A92" s="6769" t="s">
        <v>1831</v>
      </c>
      <c r="B92" s="6770"/>
      <c r="C92" s="6770"/>
    </row>
    <row r="93" spans="1:3" s="2705" customFormat="1" ht="56.25" customHeight="1">
      <c r="A93" s="6774"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71"/>
      <c r="C93" s="6771"/>
    </row>
    <row r="94" spans="1:3" s="2705" customFormat="1" ht="47.25" customHeight="1">
      <c r="A94" s="6783" t="str">
        <f>+'TP. CAO LÃNH'!A93:C93</f>
        <v>- Chưa bao gồm chi đầu tư từ nguồn vốn do ngân sách cấp tỉnh quản lý và phân bổ bổ sung có mục tiêu cho ngân sách huyện, thành phố</v>
      </c>
      <c r="B94" s="6769"/>
      <c r="C94" s="6769"/>
    </row>
    <row r="95" spans="1:3">
      <c r="A95" s="6766" t="s">
        <v>1829</v>
      </c>
      <c r="B95" s="6766"/>
      <c r="C95" s="6766"/>
    </row>
    <row r="96" spans="1:3" ht="55.5" customHeight="1">
      <c r="A96" s="6774"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71"/>
      <c r="C96" s="6771"/>
    </row>
    <row r="97" spans="1:3" ht="42" customHeight="1">
      <c r="A97" s="6784"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81"/>
      <c r="C97" s="6781"/>
    </row>
    <row r="98" spans="1:3">
      <c r="A98" s="381" t="str">
        <f>+'TP. CAO LÃNH'!A97</f>
        <v xml:space="preserve">- Bao gồm 10% tiết kiệm tăng thêm năm 2025 so với năm 2024 để thực hiện cải cách tiền lương năm 2025 là: </v>
      </c>
      <c r="C98" s="2912" t="s">
        <v>1830</v>
      </c>
    </row>
    <row r="99" spans="1:3" s="386" customFormat="1" ht="17.399999999999999">
      <c r="A99" s="2704" t="str">
        <f>'[2]TP. CAO LÃNH'!A91:C91</f>
        <v>(3): Trong đó:</v>
      </c>
      <c r="B99" s="2704"/>
      <c r="C99" s="2704"/>
    </row>
    <row r="100" spans="1:3" ht="60.75" customHeight="1">
      <c r="A100" s="6771"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71"/>
      <c r="C100" s="6771"/>
    </row>
    <row r="123" spans="1:3">
      <c r="A123" s="6283" t="str">
        <f>+'TP. CAO LÃNH'!A125:C125</f>
        <v>PHỤ LỤC III</v>
      </c>
      <c r="B123" s="6283"/>
      <c r="C123" s="6283"/>
    </row>
    <row r="124" spans="1:3">
      <c r="A124" s="6283" t="str">
        <f>+'TP. CAO LÃNH'!A126:C126</f>
        <v>CHI TỪ NGUỒN NGÂN SÁCH CẤP TỈNH BỔ SUNG CÓ MỤC TIÊU NĂM 2025</v>
      </c>
      <c r="B124" s="6283"/>
      <c r="C124" s="6283"/>
    </row>
    <row r="125" spans="1:3">
      <c r="A125" s="6283" t="str">
        <f>A68</f>
        <v>HUYỆN CAO LÃNH</v>
      </c>
      <c r="B125" s="6283"/>
      <c r="C125" s="6283"/>
    </row>
    <row r="126" spans="1:3">
      <c r="A126" s="6498" t="str">
        <f>+A69</f>
        <v>(Kèm theo Quyết định số        /QĐ-UBND-HC ngày      /12/2024 của Uỷ ban nhân dân tỉnh Đồng Tháp)</v>
      </c>
      <c r="B126" s="6498"/>
      <c r="C126" s="6498"/>
    </row>
    <row r="128" spans="1:3" ht="18.600000000000001" thickBot="1">
      <c r="A128" s="2899"/>
      <c r="B128" s="2899"/>
      <c r="C128" s="2883" t="str">
        <f>C71</f>
        <v>Đơn vị tính: Triệu đồng</v>
      </c>
    </row>
    <row r="129" spans="1:5" ht="35.4" thickTop="1">
      <c r="A129" s="5014" t="s">
        <v>136</v>
      </c>
      <c r="B129" s="4862" t="s">
        <v>137</v>
      </c>
      <c r="C129" s="4861" t="str">
        <f>+C72</f>
        <v>Dự toán năm 2025</v>
      </c>
    </row>
    <row r="130" spans="1:5">
      <c r="A130" s="5015"/>
      <c r="B130" s="682" t="s">
        <v>3196</v>
      </c>
      <c r="C130" s="5016">
        <f>SUM(C131:C142)</f>
        <v>138312.62099999998</v>
      </c>
      <c r="E130" s="667">
        <f>+C42-C130</f>
        <v>0</v>
      </c>
    </row>
    <row r="131" spans="1:5" ht="36">
      <c r="A131" s="593">
        <v>1</v>
      </c>
      <c r="B131" s="5022" t="s">
        <v>805</v>
      </c>
      <c r="C131" s="4538">
        <f>+'Phụ lục số 8.1'!BL14</f>
        <v>31386.989999999998</v>
      </c>
    </row>
    <row r="132" spans="1:5">
      <c r="A132" s="593">
        <v>2</v>
      </c>
      <c r="B132" s="5022" t="str">
        <f>+'TP. CAO LÃNH'!B134</f>
        <v>Kinh phí hỗ trợ địa phương sản xuất lúa</v>
      </c>
      <c r="C132" s="4538">
        <f>+'Phụ lục số 8.1'!BL15</f>
        <v>40000</v>
      </c>
    </row>
    <row r="133" spans="1:5">
      <c r="A133" s="593">
        <v>3</v>
      </c>
      <c r="B133" s="5022" t="str">
        <f>+'TP. CAO LÃNH'!B135</f>
        <v>Kinh phí biên chế giáo viên tăng thêm</v>
      </c>
      <c r="C133" s="4538">
        <f>+'Phụ lục số 8.1'!BL18</f>
        <v>1123</v>
      </c>
    </row>
    <row r="134" spans="1:5" ht="36">
      <c r="A134" s="593">
        <v>4</v>
      </c>
      <c r="B134" s="2525" t="s">
        <v>1608</v>
      </c>
      <c r="C134" s="5017">
        <v>0</v>
      </c>
    </row>
    <row r="135" spans="1:5">
      <c r="A135" s="593">
        <v>5</v>
      </c>
      <c r="B135" s="2525" t="s">
        <v>3197</v>
      </c>
      <c r="C135" s="5018">
        <v>0</v>
      </c>
    </row>
    <row r="136" spans="1:5" ht="36">
      <c r="A136" s="593">
        <v>6</v>
      </c>
      <c r="B136" s="2525" t="s">
        <v>3198</v>
      </c>
      <c r="C136" s="5018">
        <f>+'Phụ lục số 8.3-CĐCS'!DI15</f>
        <v>38.032000000000039</v>
      </c>
    </row>
    <row r="137" spans="1:5" ht="36">
      <c r="A137" s="593">
        <v>7</v>
      </c>
      <c r="B137" s="2525" t="s">
        <v>3199</v>
      </c>
      <c r="C137" s="5018">
        <f>+'Phụ lục số 8.3-CĐCS'!DI17+'Phụ lục số 8.3-CĐCS'!DI13+'Phụ lục số 8.3-CĐCS'!DI14+'Phụ lục số 8.3-CĐCS'!DI18</f>
        <v>44844</v>
      </c>
    </row>
    <row r="138" spans="1:5" ht="36">
      <c r="A138" s="593">
        <v>8</v>
      </c>
      <c r="B138" s="2525" t="s">
        <v>1093</v>
      </c>
      <c r="C138" s="5017">
        <v>0</v>
      </c>
    </row>
    <row r="139" spans="1:5" ht="36">
      <c r="A139" s="593">
        <v>9</v>
      </c>
      <c r="B139" s="5012" t="s">
        <v>3156</v>
      </c>
      <c r="C139" s="5018">
        <f>+'Phụ lục số 8.1'!BL20</f>
        <v>1490.94</v>
      </c>
    </row>
    <row r="140" spans="1:5">
      <c r="A140" s="593">
        <v>10</v>
      </c>
      <c r="B140" s="5013" t="s">
        <v>1510</v>
      </c>
      <c r="C140" s="5018">
        <f>+'Phụ lục số 8.1'!BL22</f>
        <v>14395</v>
      </c>
    </row>
    <row r="141" spans="1:5">
      <c r="A141" s="593">
        <v>11</v>
      </c>
      <c r="B141" s="5013" t="str">
        <f>+'TP. CAO LÃNH'!B143</f>
        <v>Kinh phí thực hiện hỗ trợ đào tạo nghề trình độ sơ cấp và đào tạo dưới 03 tháng năm 2025</v>
      </c>
      <c r="C141" s="5018"/>
    </row>
    <row r="142" spans="1:5" ht="18.600000000000001" thickBot="1">
      <c r="A142" s="5019">
        <v>12</v>
      </c>
      <c r="B142" s="5192" t="str">
        <f>+'TP. CAO LÃNH'!B144</f>
        <v>Kinh phí tổ chức đại hội Đảng nhiệm kỳ 2025 - 2030</v>
      </c>
      <c r="C142" s="5021">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154" t="str">
        <f>'[4]1k'!A1:B1</f>
        <v>ỦY BAN NHÂN DÂN TỈNH ĐỒNG THÁP</v>
      </c>
      <c r="B1" s="6154"/>
      <c r="C1" s="1232"/>
      <c r="D1" s="1232"/>
      <c r="E1" s="1232"/>
      <c r="F1" s="1232"/>
      <c r="G1" s="1232"/>
      <c r="H1" s="1232"/>
      <c r="I1" s="1232"/>
      <c r="J1" s="1232"/>
      <c r="K1" s="1232"/>
      <c r="L1" s="1232"/>
      <c r="M1" s="1232"/>
      <c r="Q1" s="6169"/>
      <c r="R1" s="6169"/>
      <c r="S1" s="6170"/>
      <c r="T1" s="6170"/>
      <c r="U1" s="6170"/>
    </row>
    <row r="2" spans="1:23">
      <c r="A2" s="6170" t="s">
        <v>1375</v>
      </c>
      <c r="B2" s="6170"/>
      <c r="C2" s="6170"/>
      <c r="D2" s="6170"/>
      <c r="E2" s="6170"/>
      <c r="F2" s="6170"/>
      <c r="G2" s="6170"/>
      <c r="H2" s="6170"/>
      <c r="I2" s="6170"/>
      <c r="J2" s="6170"/>
      <c r="K2" s="6170"/>
      <c r="L2" s="6170"/>
      <c r="M2" s="6170"/>
      <c r="N2" s="6170"/>
      <c r="O2" s="6170"/>
      <c r="P2" s="6170"/>
      <c r="Q2" s="6170"/>
      <c r="R2" s="6170"/>
      <c r="S2" s="6170"/>
      <c r="T2" s="6170"/>
      <c r="U2" s="1236"/>
    </row>
    <row r="3" spans="1:23">
      <c r="A3" s="6172"/>
      <c r="B3" s="6172"/>
      <c r="C3" s="6172"/>
      <c r="D3" s="6172"/>
      <c r="E3" s="6172"/>
      <c r="F3" s="6172"/>
      <c r="G3" s="6172"/>
      <c r="H3" s="6172"/>
      <c r="I3" s="6172"/>
      <c r="J3" s="6172"/>
      <c r="K3" s="6172"/>
      <c r="L3" s="6172"/>
      <c r="M3" s="6172"/>
      <c r="N3" s="6172"/>
      <c r="O3" s="6172"/>
      <c r="P3" s="6172"/>
      <c r="Q3" s="6172"/>
      <c r="R3" s="6172"/>
      <c r="S3" s="1236"/>
      <c r="T3" s="1236"/>
      <c r="U3" s="1236"/>
    </row>
    <row r="4" spans="1:23" ht="18.75" customHeight="1">
      <c r="A4" s="6171" t="s">
        <v>1121</v>
      </c>
      <c r="B4" s="6171"/>
      <c r="C4" s="6171"/>
      <c r="D4" s="6171"/>
      <c r="E4" s="6171"/>
      <c r="F4" s="6171"/>
      <c r="G4" s="6171"/>
      <c r="H4" s="6171"/>
      <c r="I4" s="6171"/>
      <c r="J4" s="6171"/>
      <c r="K4" s="6171"/>
      <c r="L4" s="6171"/>
      <c r="M4" s="6171"/>
      <c r="N4" s="6171"/>
      <c r="O4" s="6171"/>
      <c r="P4" s="6171"/>
      <c r="Q4" s="6171"/>
      <c r="R4" s="6171"/>
      <c r="S4" s="6171"/>
      <c r="T4" s="6171"/>
      <c r="U4" s="1236"/>
    </row>
    <row r="5" spans="1:23" ht="21" customHeight="1">
      <c r="A5" s="6158" t="s">
        <v>247</v>
      </c>
      <c r="B5" s="6159" t="s">
        <v>1201</v>
      </c>
      <c r="C5" s="6166" t="s">
        <v>1202</v>
      </c>
      <c r="D5" s="6166"/>
      <c r="E5" s="6166"/>
      <c r="F5" s="6166"/>
      <c r="G5" s="6166"/>
      <c r="H5" s="6166"/>
      <c r="I5" s="6166"/>
      <c r="J5" s="6166"/>
      <c r="K5" s="6166"/>
      <c r="L5" s="6166"/>
      <c r="M5" s="6166"/>
      <c r="N5" s="6160" t="s">
        <v>1122</v>
      </c>
      <c r="O5" s="6161"/>
      <c r="P5" s="6161"/>
      <c r="Q5" s="6161"/>
      <c r="R5" s="6162"/>
      <c r="S5" s="1369"/>
      <c r="T5" s="1369"/>
      <c r="U5" s="1237"/>
    </row>
    <row r="6" spans="1:23" ht="45" customHeight="1">
      <c r="A6" s="6158"/>
      <c r="B6" s="6159"/>
      <c r="C6" s="6163" t="s">
        <v>1203</v>
      </c>
      <c r="D6" s="6164" t="s">
        <v>1204</v>
      </c>
      <c r="E6" s="6165" t="s">
        <v>1205</v>
      </c>
      <c r="F6" s="6165"/>
      <c r="G6" s="6165"/>
      <c r="H6" s="6165" t="s">
        <v>978</v>
      </c>
      <c r="I6" s="6165"/>
      <c r="J6" s="6165"/>
      <c r="K6" s="6163" t="s">
        <v>1124</v>
      </c>
      <c r="L6" s="6134" t="s">
        <v>996</v>
      </c>
      <c r="M6" s="6134" t="s">
        <v>1125</v>
      </c>
      <c r="N6" s="6163" t="s">
        <v>1203</v>
      </c>
      <c r="O6" s="6165" t="s">
        <v>1206</v>
      </c>
      <c r="P6" s="6165"/>
      <c r="Q6" s="6165"/>
      <c r="R6" s="6163" t="s">
        <v>1124</v>
      </c>
      <c r="S6" s="6134" t="s">
        <v>1165</v>
      </c>
      <c r="T6" s="6134" t="s">
        <v>1125</v>
      </c>
      <c r="U6" s="6167" t="s">
        <v>861</v>
      </c>
    </row>
    <row r="7" spans="1:23" ht="15.75" customHeight="1">
      <c r="A7" s="6158"/>
      <c r="B7" s="6159"/>
      <c r="C7" s="6163"/>
      <c r="D7" s="6164"/>
      <c r="E7" s="6163" t="s">
        <v>1207</v>
      </c>
      <c r="F7" s="6163" t="s">
        <v>1208</v>
      </c>
      <c r="G7" s="6163" t="s">
        <v>1209</v>
      </c>
      <c r="H7" s="6168" t="s">
        <v>1207</v>
      </c>
      <c r="I7" s="6163" t="s">
        <v>1208</v>
      </c>
      <c r="J7" s="6163" t="s">
        <v>1209</v>
      </c>
      <c r="K7" s="6163"/>
      <c r="L7" s="6134"/>
      <c r="M7" s="6134"/>
      <c r="N7" s="6163"/>
      <c r="O7" s="6164" t="s">
        <v>1204</v>
      </c>
      <c r="P7" s="6163" t="s">
        <v>1207</v>
      </c>
      <c r="Q7" s="6163" t="s">
        <v>1208</v>
      </c>
      <c r="R7" s="6163"/>
      <c r="S7" s="6134"/>
      <c r="T7" s="6134"/>
      <c r="U7" s="6167"/>
    </row>
    <row r="8" spans="1:23" ht="12.75" customHeight="1">
      <c r="A8" s="6158"/>
      <c r="B8" s="6159"/>
      <c r="C8" s="6163"/>
      <c r="D8" s="6164"/>
      <c r="E8" s="6163"/>
      <c r="F8" s="6163"/>
      <c r="G8" s="6163"/>
      <c r="H8" s="6168"/>
      <c r="I8" s="6163"/>
      <c r="J8" s="6163"/>
      <c r="K8" s="6163"/>
      <c r="L8" s="6134"/>
      <c r="M8" s="6134"/>
      <c r="N8" s="6163"/>
      <c r="O8" s="6164"/>
      <c r="P8" s="6163"/>
      <c r="Q8" s="6163"/>
      <c r="R8" s="6163"/>
      <c r="S8" s="6134"/>
      <c r="T8" s="6134"/>
      <c r="U8" s="6167"/>
    </row>
    <row r="9" spans="1:23" s="1238" customFormat="1" ht="87" customHeight="1">
      <c r="A9" s="6158"/>
      <c r="B9" s="6159"/>
      <c r="C9" s="6163"/>
      <c r="D9" s="6164"/>
      <c r="E9" s="6163"/>
      <c r="F9" s="6163"/>
      <c r="G9" s="6163"/>
      <c r="H9" s="6168"/>
      <c r="I9" s="6163"/>
      <c r="J9" s="6163"/>
      <c r="K9" s="6163"/>
      <c r="L9" s="6134"/>
      <c r="M9" s="6134"/>
      <c r="N9" s="6163"/>
      <c r="O9" s="6164"/>
      <c r="P9" s="6163"/>
      <c r="Q9" s="6163"/>
      <c r="R9" s="6163"/>
      <c r="S9" s="6134"/>
      <c r="T9" s="6134"/>
      <c r="U9" s="6167"/>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62.4">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31.2">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29"/>
      <c r="F84" s="6129"/>
      <c r="G84" s="6129"/>
      <c r="H84" s="6129"/>
      <c r="I84" s="6129"/>
      <c r="J84" s="6129"/>
      <c r="K84" s="6129"/>
      <c r="L84" s="6129"/>
      <c r="M84" s="6129"/>
      <c r="P84" s="6130"/>
      <c r="Q84" s="6130"/>
      <c r="R84" s="6130"/>
      <c r="S84" s="6130"/>
      <c r="T84" s="6130"/>
    </row>
    <row r="85" spans="1:21">
      <c r="P85" s="6123"/>
      <c r="Q85" s="6123"/>
      <c r="R85" s="6123"/>
      <c r="S85" s="6123"/>
      <c r="T85" s="6123"/>
    </row>
    <row r="86" spans="1:21">
      <c r="P86" s="6123"/>
      <c r="Q86" s="6123"/>
      <c r="R86" s="6123"/>
      <c r="S86" s="6123"/>
      <c r="T86" s="6123"/>
    </row>
    <row r="87" spans="1:21">
      <c r="P87" s="6129"/>
      <c r="Q87" s="6129"/>
      <c r="R87" s="6129"/>
      <c r="S87" s="6129"/>
      <c r="T87" s="6129"/>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+'H. CAO LÃNH'!A1:C1</f>
        <v>PHỤ LỤC I</v>
      </c>
      <c r="B1" s="6283"/>
      <c r="C1" s="6283"/>
    </row>
    <row r="2" spans="1:3">
      <c r="A2" s="6283" t="str">
        <f>+'H. CAO LÃNH'!A2:C2</f>
        <v>NHIỆM VỤ THU NGÂN SÁCH NHÀ NƯỚC NĂM 2025</v>
      </c>
      <c r="B2" s="6283"/>
      <c r="C2" s="6283"/>
    </row>
    <row r="3" spans="1:3">
      <c r="A3" s="6283" t="s">
        <v>1494</v>
      </c>
      <c r="B3" s="6283"/>
      <c r="C3" s="6283"/>
    </row>
    <row r="4" spans="1:3">
      <c r="A4" s="6500" t="str">
        <f>+'H. CAO LÃNH'!A4:C4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278300</v>
      </c>
    </row>
    <row r="9" spans="1:3">
      <c r="A9" s="5025"/>
      <c r="B9" s="697" t="s">
        <v>784</v>
      </c>
      <c r="C9" s="5078">
        <f>C8-C29</f>
        <v>178300</v>
      </c>
    </row>
    <row r="10" spans="1:3">
      <c r="A10" s="5027">
        <v>1</v>
      </c>
      <c r="B10" s="701" t="s">
        <v>1477</v>
      </c>
      <c r="C10" s="5028">
        <f>SUM(C11:C15)</f>
        <v>83000</v>
      </c>
    </row>
    <row r="11" spans="1:3">
      <c r="A11" s="5029" t="s">
        <v>29</v>
      </c>
      <c r="B11" s="704" t="s">
        <v>786</v>
      </c>
      <c r="C11" s="5032">
        <f>+'Phụ lục 7-HĐND'!AA10</f>
        <v>68650</v>
      </c>
    </row>
    <row r="12" spans="1:3">
      <c r="A12" s="5029" t="s">
        <v>29</v>
      </c>
      <c r="B12" s="704" t="s">
        <v>787</v>
      </c>
      <c r="C12" s="5032">
        <f>+'Phụ lục 7-HĐND'!AA11</f>
        <v>13500</v>
      </c>
    </row>
    <row r="13" spans="1:3">
      <c r="A13" s="5029" t="s">
        <v>29</v>
      </c>
      <c r="B13" s="704" t="s">
        <v>788</v>
      </c>
      <c r="C13" s="5032">
        <f>+'Phụ lục 7-HĐND'!AA12</f>
        <v>300</v>
      </c>
    </row>
    <row r="14" spans="1:3">
      <c r="A14" s="5029" t="s">
        <v>29</v>
      </c>
      <c r="B14" s="704" t="s">
        <v>10</v>
      </c>
      <c r="C14" s="5032">
        <f>+'Phụ lục 7-HĐND'!AA13</f>
        <v>550</v>
      </c>
    </row>
    <row r="15" spans="1:3">
      <c r="A15" s="5029" t="s">
        <v>29</v>
      </c>
      <c r="B15" s="704" t="s">
        <v>789</v>
      </c>
      <c r="C15" s="5032">
        <f>+'Phụ lục 7-HĐND'!AA14</f>
        <v>0</v>
      </c>
    </row>
    <row r="16" spans="1:3">
      <c r="A16" s="5027">
        <v>2</v>
      </c>
      <c r="B16" s="701" t="s">
        <v>20</v>
      </c>
      <c r="C16" s="5028">
        <f>SUM(C17:C18)</f>
        <v>32000</v>
      </c>
    </row>
    <row r="17" spans="1:3" hidden="1">
      <c r="A17" s="5031" t="s">
        <v>29</v>
      </c>
      <c r="B17" s="43" t="s">
        <v>790</v>
      </c>
      <c r="C17" s="5032">
        <f>+'Phụ lục 7-HĐND'!AA16</f>
        <v>0</v>
      </c>
    </row>
    <row r="18" spans="1:3" hidden="1">
      <c r="A18" s="5033" t="s">
        <v>29</v>
      </c>
      <c r="B18" s="711" t="s">
        <v>791</v>
      </c>
      <c r="C18" s="5032">
        <f>+'Phụ lục 7-HĐND'!AA17</f>
        <v>32000</v>
      </c>
    </row>
    <row r="19" spans="1:3">
      <c r="A19" s="5027">
        <v>3</v>
      </c>
      <c r="B19" s="701" t="s">
        <v>17</v>
      </c>
      <c r="C19" s="5028">
        <f>+'Phụ lục 7-HĐND'!AA18</f>
        <v>27500</v>
      </c>
    </row>
    <row r="20" spans="1:3">
      <c r="A20" s="5027">
        <v>4</v>
      </c>
      <c r="B20" s="701" t="s">
        <v>792</v>
      </c>
      <c r="C20" s="5028">
        <f>+'Phụ lục 7-HĐND'!AA19</f>
        <v>0</v>
      </c>
    </row>
    <row r="21" spans="1:3">
      <c r="A21" s="5027">
        <v>4</v>
      </c>
      <c r="B21" s="701" t="s">
        <v>97</v>
      </c>
      <c r="C21" s="5028">
        <f>+'Phụ lục 7-HĐND'!AA20</f>
        <v>2500</v>
      </c>
    </row>
    <row r="22" spans="1:3">
      <c r="A22" s="5027">
        <v>5</v>
      </c>
      <c r="B22" s="701" t="s">
        <v>793</v>
      </c>
      <c r="C22" s="5028">
        <f>SUM(C23:C25)</f>
        <v>10000</v>
      </c>
    </row>
    <row r="23" spans="1:3">
      <c r="A23" s="5034" t="s">
        <v>29</v>
      </c>
      <c r="B23" s="43" t="s">
        <v>794</v>
      </c>
      <c r="C23" s="5032">
        <f>+'Phụ lục 7-HĐND'!AA22</f>
        <v>3000</v>
      </c>
    </row>
    <row r="24" spans="1:3">
      <c r="A24" s="5034" t="s">
        <v>29</v>
      </c>
      <c r="B24" s="43" t="s">
        <v>795</v>
      </c>
      <c r="C24" s="5032">
        <f>+'Phụ lục 7-HĐND'!AA23</f>
        <v>0</v>
      </c>
    </row>
    <row r="25" spans="1:3">
      <c r="A25" s="5034" t="s">
        <v>29</v>
      </c>
      <c r="B25" s="43" t="s">
        <v>796</v>
      </c>
      <c r="C25" s="5032">
        <f>+'Phụ lục 7-HĐND'!AA24</f>
        <v>7000</v>
      </c>
    </row>
    <row r="26" spans="1:3">
      <c r="A26" s="5027">
        <v>6</v>
      </c>
      <c r="B26" s="701" t="s">
        <v>24</v>
      </c>
      <c r="C26" s="5028">
        <f>SUM(C27:C28)</f>
        <v>2500</v>
      </c>
    </row>
    <row r="27" spans="1:3">
      <c r="A27" s="5034" t="s">
        <v>29</v>
      </c>
      <c r="B27" s="43" t="s">
        <v>790</v>
      </c>
      <c r="C27" s="5032">
        <f>+'Phụ lục 7-HĐND'!AA26</f>
        <v>0</v>
      </c>
    </row>
    <row r="28" spans="1:3">
      <c r="A28" s="5035" t="s">
        <v>29</v>
      </c>
      <c r="B28" s="711" t="s">
        <v>1809</v>
      </c>
      <c r="C28" s="5032">
        <f>+'Phụ lục 7-HĐND'!AA27</f>
        <v>2500</v>
      </c>
    </row>
    <row r="29" spans="1:3">
      <c r="A29" s="5027">
        <v>7</v>
      </c>
      <c r="B29" s="701" t="s">
        <v>242</v>
      </c>
      <c r="C29" s="5028">
        <f>SUM(C30:C31)</f>
        <v>100000</v>
      </c>
    </row>
    <row r="30" spans="1:3">
      <c r="A30" s="5034" t="s">
        <v>29</v>
      </c>
      <c r="B30" s="43" t="s">
        <v>790</v>
      </c>
      <c r="C30" s="5032">
        <f>+'Phụ lục 7-HĐND'!AA29</f>
        <v>0</v>
      </c>
    </row>
    <row r="31" spans="1:3">
      <c r="A31" s="5035" t="s">
        <v>29</v>
      </c>
      <c r="B31" s="711" t="s">
        <v>1810</v>
      </c>
      <c r="C31" s="5032">
        <f>+'Phụ lục 7-HĐND'!AA30</f>
        <v>100000</v>
      </c>
    </row>
    <row r="32" spans="1:3">
      <c r="A32" s="5027">
        <v>8</v>
      </c>
      <c r="B32" s="701" t="s">
        <v>798</v>
      </c>
      <c r="C32" s="5028">
        <f>SUM(C33:C35)</f>
        <v>20000</v>
      </c>
    </row>
    <row r="33" spans="1:3">
      <c r="A33" s="5034" t="s">
        <v>29</v>
      </c>
      <c r="B33" s="43" t="s">
        <v>799</v>
      </c>
      <c r="C33" s="5032">
        <f>+'Phụ lục 7-HĐND'!AA32</f>
        <v>4000</v>
      </c>
    </row>
    <row r="34" spans="1:3">
      <c r="A34" s="5034" t="s">
        <v>29</v>
      </c>
      <c r="B34" s="43" t="s">
        <v>800</v>
      </c>
      <c r="C34" s="5032">
        <f>+'Phụ lục 7-HĐND'!AA33</f>
        <v>1500</v>
      </c>
    </row>
    <row r="35" spans="1:3">
      <c r="A35" s="5034" t="s">
        <v>29</v>
      </c>
      <c r="B35" s="43" t="s">
        <v>801</v>
      </c>
      <c r="C35" s="5032">
        <f>+'Phụ lục 7-HĐND'!AA34</f>
        <v>14500</v>
      </c>
    </row>
    <row r="36" spans="1:3">
      <c r="A36" s="5027">
        <v>9</v>
      </c>
      <c r="B36" s="5036" t="s">
        <v>1811</v>
      </c>
      <c r="C36" s="5028">
        <f>+'Phụ lục 7-HĐND'!AA35</f>
        <v>800</v>
      </c>
    </row>
    <row r="37" spans="1:3">
      <c r="A37" s="5027" t="s">
        <v>33</v>
      </c>
      <c r="B37" s="701" t="s">
        <v>1812</v>
      </c>
      <c r="C37" s="5037"/>
    </row>
    <row r="38" spans="1:3">
      <c r="A38" s="5027"/>
      <c r="B38" s="704" t="s">
        <v>1813</v>
      </c>
      <c r="C38" s="5038">
        <v>1</v>
      </c>
    </row>
    <row r="39" spans="1:3" s="386" customFormat="1" ht="17.399999999999999">
      <c r="A39" s="4971" t="s">
        <v>182</v>
      </c>
      <c r="B39" s="4972" t="s">
        <v>802</v>
      </c>
      <c r="C39" s="5028">
        <f>SUM(C40:C42)</f>
        <v>736843.87899999996</v>
      </c>
    </row>
    <row r="40" spans="1:3">
      <c r="A40" s="1926">
        <v>1</v>
      </c>
      <c r="B40" s="4968" t="s">
        <v>803</v>
      </c>
      <c r="C40" s="5032">
        <f>+'Phụ lục 7-HĐND'!AA37</f>
        <v>441700</v>
      </c>
    </row>
    <row r="41" spans="1:3">
      <c r="A41" s="1926">
        <v>2</v>
      </c>
      <c r="B41" s="1927" t="s">
        <v>3136</v>
      </c>
      <c r="C41" s="5032">
        <f>+'Phụ lục 7-HĐND'!AA38</f>
        <v>179744</v>
      </c>
    </row>
    <row r="42" spans="1:3">
      <c r="A42" s="1926">
        <v>3</v>
      </c>
      <c r="B42" s="4968" t="s">
        <v>3206</v>
      </c>
      <c r="C42" s="5032">
        <f>+'Phụ lục 7-HĐND'!AA39</f>
        <v>115399.87899999999</v>
      </c>
    </row>
    <row r="43" spans="1:3" s="380" customFormat="1" thickBot="1">
      <c r="A43" s="4539" t="s">
        <v>215</v>
      </c>
      <c r="B43" s="5042" t="s">
        <v>1721</v>
      </c>
      <c r="C43" s="5043">
        <f>+'Phụ lục 7-HĐND'!AA40</f>
        <v>20039</v>
      </c>
    </row>
    <row r="44" spans="1:3" ht="18.600000000000001" thickTop="1">
      <c r="A44" s="2914"/>
      <c r="B44" s="2914" t="s">
        <v>809</v>
      </c>
      <c r="C44" s="2915"/>
    </row>
    <row r="46" spans="1:3">
      <c r="A46" s="6746" t="s">
        <v>1717</v>
      </c>
      <c r="B46" s="6746"/>
      <c r="C46" s="6746"/>
    </row>
    <row r="47" spans="1:3" ht="39.75" customHeight="1">
      <c r="A47" s="6761" t="str">
        <f>+'H. CAO LÃNH'!A47:C47</f>
        <v xml:space="preserve">(1): Dự toán thu ngân sách nhà nước năm 2025 không bao gồm các khoản huy động nhân dân đóng góp, các khoản ghi thu, ghi chi vào ngân sách nhà nước theo chế độ quy định.
</v>
      </c>
      <c r="B47" s="6761"/>
      <c r="C47" s="6761"/>
    </row>
    <row r="48" spans="1:3" ht="101.25" customHeight="1">
      <c r="A48" s="6761"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283" t="str">
        <f>+'H. CAO LÃNH'!A66:C66</f>
        <v>PHỤ LỤC II</v>
      </c>
      <c r="B65" s="6283"/>
      <c r="C65" s="6283"/>
    </row>
    <row r="66" spans="1:3">
      <c r="A66" s="6283" t="str">
        <f>+'H. CAO LÃNH'!A67:C67</f>
        <v>NHIỆM VỤ CHI NGÂN SÁCH HUYỆN, THÀNH PHỐ NĂM 2025</v>
      </c>
      <c r="B66" s="6283"/>
      <c r="C66" s="6283"/>
    </row>
    <row r="67" spans="1:3">
      <c r="A67" s="6283" t="str">
        <f>A3</f>
        <v>HUYỆN THÁP MƯỜI</v>
      </c>
      <c r="B67" s="6283"/>
      <c r="C67" s="6283"/>
    </row>
    <row r="68" spans="1:3">
      <c r="A68" s="6500" t="str">
        <f>A4</f>
        <v>(Kèm theo Quyết định số        /QĐ-UBND-HC ngày      /12/2024 của Uỷ ban nhân dân tỉnh Đồng Tháp)</v>
      </c>
      <c r="B68" s="6500"/>
      <c r="C68" s="6500"/>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CAO LÃNH'!B64</f>
        <v>Nội dung</v>
      </c>
      <c r="C71" s="4543" t="str">
        <f>C7</f>
        <v>Dự toán năm 2025</v>
      </c>
    </row>
    <row r="72" spans="1:3" s="386" customFormat="1" ht="17.399999999999999">
      <c r="A72" s="5049"/>
      <c r="B72" s="693" t="str">
        <f>'[2]H. CAO LÃNH'!B65</f>
        <v>Tổng chi (I+II+III+IV)</v>
      </c>
      <c r="C72" s="5080">
        <f>C73+C77+C81+C82+C83</f>
        <v>1015582.879</v>
      </c>
    </row>
    <row r="73" spans="1:3" s="386" customFormat="1" ht="17.399999999999999">
      <c r="A73" s="5050" t="s">
        <v>3</v>
      </c>
      <c r="B73" s="2910" t="str">
        <f>'[2]H. CAO LÃNH'!B66</f>
        <v>Chi đầu tư phát triển (1)</v>
      </c>
      <c r="C73" s="5054">
        <f>SUM(C75:C76)</f>
        <v>130000</v>
      </c>
    </row>
    <row r="74" spans="1:3">
      <c r="A74" s="5051"/>
      <c r="B74" s="2916" t="str">
        <f>'[2]H. CAO LÃNH'!B67</f>
        <v>Bao gồm:</v>
      </c>
      <c r="C74" s="5032"/>
    </row>
    <row r="75" spans="1:3">
      <c r="A75" s="5052">
        <v>1</v>
      </c>
      <c r="B75" s="2917" t="str">
        <f>'[2]H. CAO LÃNH'!B68</f>
        <v>Chi đầu tư xây dựng cơ bản</v>
      </c>
      <c r="C75" s="5032">
        <f>+'Phụ lục 8-HĐND'!K9</f>
        <v>40000</v>
      </c>
    </row>
    <row r="76" spans="1:3">
      <c r="A76" s="5052">
        <v>2</v>
      </c>
      <c r="B76" s="2917" t="str">
        <f>'[2]H. CAO LÃNH'!B69</f>
        <v>Chi đầu tư từ nguồn thu tiền sử dụng đất</v>
      </c>
      <c r="C76" s="5032">
        <f>+'Phụ lục 8-HĐND'!K10</f>
        <v>90000</v>
      </c>
    </row>
    <row r="77" spans="1:3" s="386" customFormat="1" ht="17.399999999999999">
      <c r="A77" s="5050" t="s">
        <v>33</v>
      </c>
      <c r="B77" s="2910" t="str">
        <f>'[2]H. CAO LÃNH'!B70</f>
        <v>Chi thường xuyên (2)</v>
      </c>
      <c r="C77" s="5054">
        <f>+'Phụ lục 8-HĐND'!K11</f>
        <v>838525.81847331277</v>
      </c>
    </row>
    <row r="78" spans="1:3">
      <c r="A78" s="5053"/>
      <c r="B78" s="2907" t="str">
        <f>'[2]H. CAO LÃNH'!B71</f>
        <v>Bao gồm:</v>
      </c>
      <c r="C78" s="5032"/>
    </row>
    <row r="79" spans="1:3">
      <c r="A79" s="5052">
        <v>1</v>
      </c>
      <c r="B79" s="2909" t="str">
        <f>'[2]H. CAO LÃNH'!B72</f>
        <v>Sự nghiệp giáo dục - đào tạo (3)</v>
      </c>
      <c r="C79" s="5032">
        <f>+'Phụ lục 8-HĐND'!K13</f>
        <v>455069.2</v>
      </c>
    </row>
    <row r="80" spans="1:3">
      <c r="A80" s="5052">
        <v>2</v>
      </c>
      <c r="B80" s="2909" t="str">
        <f>'[2]H. CAO LÃNH'!B73</f>
        <v>Các khoản chi thường xuyên còn lại</v>
      </c>
      <c r="C80" s="5032">
        <f>+'Phụ lục 8-HĐND'!K14</f>
        <v>383456.61847331276</v>
      </c>
    </row>
    <row r="81" spans="1:3" s="386" customFormat="1" ht="17.399999999999999">
      <c r="A81" s="5050" t="s">
        <v>182</v>
      </c>
      <c r="B81" s="2910" t="str">
        <f>'[2]H. CAO LÃNH'!B74</f>
        <v>Dự phòng ngân sách</v>
      </c>
      <c r="C81" s="5054">
        <f>+'Phụ lục 8-HĐND'!K15</f>
        <v>18131.05</v>
      </c>
    </row>
    <row r="82" spans="1:3" s="386" customFormat="1" ht="17.399999999999999">
      <c r="A82" s="5050" t="s">
        <v>215</v>
      </c>
      <c r="B82" s="2910" t="str">
        <f>'[2]H. CAO LÃNH'!B75</f>
        <v>Chi tạo nguồn cải cách tiền lương</v>
      </c>
      <c r="C82" s="5054">
        <f>+'Phụ lục 8-HĐND'!K16</f>
        <v>0</v>
      </c>
    </row>
    <row r="83" spans="1:3" s="386" customFormat="1" ht="17.399999999999999">
      <c r="A83" s="5073" t="s">
        <v>718</v>
      </c>
      <c r="B83" s="701" t="str">
        <f>'[2]H. CAO LÃNH'!B76</f>
        <v>Chi từ nguồn ngân sách cấp Tỉnh bổ sung có mục tiêu</v>
      </c>
      <c r="C83" s="5054">
        <f>SUM(C84:C88)</f>
        <v>28926.010526687096</v>
      </c>
    </row>
    <row r="84" spans="1:3">
      <c r="A84" s="5055" t="s">
        <v>29</v>
      </c>
      <c r="B84" s="704" t="str">
        <f>+'H. CAO LÃNH'!B85</f>
        <v>Chi đầu tư xây dựng cơ bản</v>
      </c>
      <c r="C84" s="5032">
        <f>+'Phụ lục 8-HĐND'!K18</f>
        <v>0</v>
      </c>
    </row>
    <row r="85" spans="1:3">
      <c r="A85" s="5055" t="s">
        <v>29</v>
      </c>
      <c r="B85" s="704" t="str">
        <f>+'H. CAO LÃNH'!B86</f>
        <v>Chi đầu tư từ nguồn xổ số kiến thiết</v>
      </c>
      <c r="C85" s="5032">
        <f>+'Phụ lục 8-HĐND'!K19</f>
        <v>0</v>
      </c>
    </row>
    <row r="86" spans="1:3">
      <c r="A86" s="5055" t="s">
        <v>29</v>
      </c>
      <c r="B86" s="2901" t="str">
        <f>+'H. CAO LÃNH'!B87</f>
        <v>Chi từ nguồn ngân sách trung ương bổ sung có mục tiêu (kinh phí biên chế giáo viên tăng thêm)</v>
      </c>
      <c r="C86" s="5032">
        <f>+'Phụ lục 8-HĐND'!K20</f>
        <v>1123</v>
      </c>
    </row>
    <row r="87" spans="1:3">
      <c r="A87" s="5056" t="s">
        <v>29</v>
      </c>
      <c r="B87" s="2901" t="str">
        <f>+'H. CAO LÃNH'!B88</f>
        <v>Chi từ nguồn ngân sách trung ương bổ sung có mục tiêu (kinh phí hỗ trợ địa phương sản xuất lúa năm 2025)</v>
      </c>
      <c r="C87" s="5032">
        <f>+'Phụ lục 8-HĐND'!K21</f>
        <v>16500</v>
      </c>
    </row>
    <row r="88" spans="1:3" ht="18.600000000000001" thickBot="1">
      <c r="A88" s="5057"/>
      <c r="B88" s="5891" t="str">
        <f>+'H. CAO LÃNH'!B89</f>
        <v>Chi từ nguồn ngân sách trung ương bổ sung có mục tiêu (chính sách an sinh xã hội năm 2025)</v>
      </c>
      <c r="C88" s="5059">
        <f>+'Phụ lục 8-HĐND'!K22</f>
        <v>11303.010526687096</v>
      </c>
    </row>
    <row r="89" spans="1:3" ht="18.600000000000001" thickTop="1"/>
    <row r="90" spans="1:3">
      <c r="A90" s="588" t="s">
        <v>1717</v>
      </c>
      <c r="B90" s="2903"/>
    </row>
    <row r="91" spans="1:3">
      <c r="A91" s="6763" t="s">
        <v>1828</v>
      </c>
      <c r="B91" s="6764"/>
      <c r="C91" s="6764"/>
    </row>
    <row r="92" spans="1:3" ht="57" customHeight="1">
      <c r="A92" s="6774"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71"/>
      <c r="C92" s="6771"/>
    </row>
    <row r="93" spans="1:3" ht="35.25" customHeight="1">
      <c r="A93" s="6771" t="str">
        <f>+'H. CAO LÃNH'!A94:C94</f>
        <v>- Chưa bao gồm chi đầu tư từ nguồn vốn do ngân sách cấp tỉnh quản lý và phân bổ bổ sung có mục tiêu cho ngân sách huyện, thành phố</v>
      </c>
      <c r="B93" s="6771"/>
      <c r="C93" s="6771"/>
    </row>
    <row r="94" spans="1:3">
      <c r="A94" s="6766" t="s">
        <v>1829</v>
      </c>
      <c r="B94" s="6766"/>
      <c r="C94" s="6766"/>
    </row>
    <row r="95" spans="1:3">
      <c r="A95" s="6771"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71"/>
      <c r="C95" s="6771"/>
    </row>
    <row r="96" spans="1:3" s="433" customFormat="1" ht="39.75" customHeight="1">
      <c r="A96" s="6772"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2"/>
      <c r="C96" s="6772"/>
    </row>
    <row r="97" spans="1:3">
      <c r="A97" s="381" t="str">
        <f>+'H. CAO LÃNH'!A98</f>
        <v xml:space="preserve">- Bao gồm 10% tiết kiệm tăng thêm năm 2025 so với năm 2024 để thực hiện cải cách tiền lương năm 2025 là: </v>
      </c>
      <c r="C97" s="2912" t="s">
        <v>3275</v>
      </c>
    </row>
    <row r="98" spans="1:3" s="2704" customFormat="1" ht="17.399999999999999">
      <c r="A98" s="2704" t="str">
        <f>'[2]H. CAO LÃNH'!A91</f>
        <v>(3): Trong đó:</v>
      </c>
    </row>
    <row r="99" spans="1:3" s="2705" customFormat="1" ht="61.5" customHeight="1">
      <c r="A99" s="6771"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71"/>
      <c r="C99" s="6771"/>
    </row>
    <row r="125" spans="1:3">
      <c r="A125" s="6283" t="str">
        <f>+'H. CAO LÃNH'!A123:C123</f>
        <v>PHỤ LỤC III</v>
      </c>
      <c r="B125" s="6283"/>
      <c r="C125" s="6283"/>
    </row>
    <row r="126" spans="1:3">
      <c r="A126" s="6283" t="str">
        <f>+'H. CAO LÃNH'!A124:C124</f>
        <v>CHI TỪ NGUỒN NGÂN SÁCH CẤP TỈNH BỔ SUNG CÓ MỤC TIÊU NĂM 2025</v>
      </c>
      <c r="B126" s="6283"/>
      <c r="C126" s="6283"/>
    </row>
    <row r="127" spans="1:3">
      <c r="A127" s="6283" t="str">
        <f>A67</f>
        <v>HUYỆN THÁP MƯỜI</v>
      </c>
      <c r="B127" s="6283"/>
      <c r="C127" s="6283"/>
    </row>
    <row r="128" spans="1:3">
      <c r="A128" s="6498" t="str">
        <f>+A68</f>
        <v>(Kèm theo Quyết định số        /QĐ-UBND-HC ngày      /12/2024 của Uỷ ban nhân dân tỉnh Đồng Tháp)</v>
      </c>
      <c r="B128" s="6498"/>
      <c r="C128" s="6498"/>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115399.879</v>
      </c>
      <c r="E132" s="667">
        <f>+C42-C132</f>
        <v>0</v>
      </c>
    </row>
    <row r="133" spans="1:5" ht="36">
      <c r="A133" s="593">
        <v>1</v>
      </c>
      <c r="B133" s="5022" t="s">
        <v>805</v>
      </c>
      <c r="C133" s="4538">
        <f>+'Phụ lục số 8.1'!BT14</f>
        <v>38241.72</v>
      </c>
    </row>
    <row r="134" spans="1:5">
      <c r="A134" s="593">
        <v>2</v>
      </c>
      <c r="B134" s="5022" t="str">
        <f>+'H. CAO LÃNH'!B132</f>
        <v>Kinh phí hỗ trợ địa phương sản xuất lúa</v>
      </c>
      <c r="C134" s="4538">
        <f>+'Phụ lục số 8.1'!BT15</f>
        <v>50500</v>
      </c>
    </row>
    <row r="135" spans="1:5">
      <c r="A135" s="593">
        <v>3</v>
      </c>
      <c r="B135" s="5022" t="str">
        <f>+'H. CAO LÃNH'!B133</f>
        <v>Kinh phí biên chế giáo viên tăng thêm</v>
      </c>
      <c r="C135" s="4538">
        <f>+'Phụ lục số 8.1'!BT18</f>
        <v>1123</v>
      </c>
    </row>
    <row r="136" spans="1:5" ht="36">
      <c r="A136" s="593">
        <v>4</v>
      </c>
      <c r="B136" s="2525" t="s">
        <v>1608</v>
      </c>
      <c r="C136" s="4538">
        <f>+'Phụ lục số 8.3-CĐCS'!DW13+'Phụ lục số 8.3-CĐCS'!DW14</f>
        <v>113.6</v>
      </c>
    </row>
    <row r="137" spans="1:5">
      <c r="A137" s="593">
        <v>5</v>
      </c>
      <c r="B137" s="2525" t="s">
        <v>3197</v>
      </c>
      <c r="C137" s="5018">
        <v>0</v>
      </c>
    </row>
    <row r="138" spans="1:5" ht="36">
      <c r="A138" s="593">
        <v>6</v>
      </c>
      <c r="B138" s="2525" t="s">
        <v>3198</v>
      </c>
      <c r="C138" s="5018">
        <v>0</v>
      </c>
    </row>
    <row r="139" spans="1:5" ht="36">
      <c r="A139" s="593">
        <v>7</v>
      </c>
      <c r="B139" s="2525" t="s">
        <v>3199</v>
      </c>
      <c r="C139" s="5018">
        <f>+'Phụ lục số 8.3-CĐCS'!DW17+'Phụ lục số 8.3-CĐCS'!DW18</f>
        <v>20853</v>
      </c>
    </row>
    <row r="140" spans="1:5" ht="36">
      <c r="A140" s="593">
        <v>8</v>
      </c>
      <c r="B140" s="2525" t="s">
        <v>1093</v>
      </c>
      <c r="C140" s="5017">
        <v>0</v>
      </c>
    </row>
    <row r="141" spans="1:5" ht="36">
      <c r="A141" s="593">
        <v>9</v>
      </c>
      <c r="B141" s="5012" t="s">
        <v>3156</v>
      </c>
      <c r="C141" s="5018">
        <f>+'Phụ lục số 8.1'!BT20</f>
        <v>956.31</v>
      </c>
    </row>
    <row r="142" spans="1:5">
      <c r="A142" s="593">
        <v>10</v>
      </c>
      <c r="B142" s="5013" t="s">
        <v>1510</v>
      </c>
      <c r="C142" s="5018"/>
    </row>
    <row r="143" spans="1:5">
      <c r="A143" s="593">
        <v>11</v>
      </c>
      <c r="B143" s="5013" t="str">
        <f>+'H. CAO LÃNH'!B141</f>
        <v>Kinh phí thực hiện hỗ trợ đào tạo nghề trình độ sơ cấp và đào tạo dưới 03 tháng năm 2025</v>
      </c>
      <c r="C143" s="5018"/>
    </row>
    <row r="144" spans="1:5" ht="18.600000000000001" thickBot="1">
      <c r="A144" s="5019">
        <v>12</v>
      </c>
      <c r="B144" s="5020" t="str">
        <f>+'H. CAO LÃNH'!B142</f>
        <v>Kinh phí tổ chức đại hội Đảng nhiệm kỳ 2025 - 2030</v>
      </c>
      <c r="C144" s="5021">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+'H. THÁP MƯỜI'!A1:C1</f>
        <v>PHỤ LỤC I</v>
      </c>
      <c r="B1" s="6283"/>
      <c r="C1" s="6283"/>
    </row>
    <row r="2" spans="1:3">
      <c r="A2" s="6283" t="str">
        <f>+'H. THÁP MƯỜI'!A2:C2</f>
        <v>NHIỆM VỤ THU NGÂN SÁCH NHÀ NƯỚC NĂM 2025</v>
      </c>
      <c r="B2" s="6283"/>
      <c r="C2" s="6283"/>
    </row>
    <row r="3" spans="1:3">
      <c r="A3" s="6283" t="s">
        <v>1495</v>
      </c>
      <c r="B3" s="6283"/>
      <c r="C3" s="6283"/>
    </row>
    <row r="4" spans="1:3">
      <c r="A4" s="6500" t="str">
        <f>+'H. THÁP MƯỜI'!A4:C4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SUM(C10,C16,C19,C20,C21,C22,C26,C29,C32,C36)</f>
        <v>276200</v>
      </c>
    </row>
    <row r="9" spans="1:3" s="2642" customFormat="1">
      <c r="A9" s="5025"/>
      <c r="B9" s="697" t="s">
        <v>784</v>
      </c>
      <c r="C9" s="5026">
        <f>C8-C29</f>
        <v>216200</v>
      </c>
    </row>
    <row r="10" spans="1:3">
      <c r="A10" s="5027">
        <v>1</v>
      </c>
      <c r="B10" s="701" t="s">
        <v>1477</v>
      </c>
      <c r="C10" s="5028">
        <f>SUM(C11:C15)</f>
        <v>117000</v>
      </c>
    </row>
    <row r="11" spans="1:3">
      <c r="A11" s="5029" t="s">
        <v>29</v>
      </c>
      <c r="B11" s="704" t="s">
        <v>786</v>
      </c>
      <c r="C11" s="5032">
        <f>+'Phụ lục 7-HĐND'!AD10</f>
        <v>37700</v>
      </c>
    </row>
    <row r="12" spans="1:3">
      <c r="A12" s="5029" t="s">
        <v>29</v>
      </c>
      <c r="B12" s="704" t="s">
        <v>787</v>
      </c>
      <c r="C12" s="5032">
        <f>+'Phụ lục 7-HĐND'!AD11</f>
        <v>76000</v>
      </c>
    </row>
    <row r="13" spans="1:3">
      <c r="A13" s="5029" t="s">
        <v>29</v>
      </c>
      <c r="B13" s="704" t="s">
        <v>788</v>
      </c>
      <c r="C13" s="5032">
        <f>+'Phụ lục 7-HĐND'!AD12</f>
        <v>100</v>
      </c>
    </row>
    <row r="14" spans="1:3">
      <c r="A14" s="5029" t="s">
        <v>29</v>
      </c>
      <c r="B14" s="704" t="s">
        <v>10</v>
      </c>
      <c r="C14" s="5032">
        <f>+'Phụ lục 7-HĐND'!AD13</f>
        <v>3200</v>
      </c>
    </row>
    <row r="15" spans="1:3">
      <c r="A15" s="5029" t="s">
        <v>29</v>
      </c>
      <c r="B15" s="704" t="s">
        <v>789</v>
      </c>
      <c r="C15" s="5032">
        <f>+'Phụ lục 7-HĐND'!AD14</f>
        <v>0</v>
      </c>
    </row>
    <row r="16" spans="1:3">
      <c r="A16" s="5027">
        <v>2</v>
      </c>
      <c r="B16" s="701" t="s">
        <v>20</v>
      </c>
      <c r="C16" s="5028">
        <f>SUM(C17:C18)</f>
        <v>27000</v>
      </c>
    </row>
    <row r="17" spans="1:3" hidden="1">
      <c r="A17" s="5031" t="s">
        <v>29</v>
      </c>
      <c r="B17" s="43" t="s">
        <v>790</v>
      </c>
      <c r="C17" s="5032">
        <f>+'Phụ lục 7-HĐND'!AD16</f>
        <v>0</v>
      </c>
    </row>
    <row r="18" spans="1:3" hidden="1">
      <c r="A18" s="5033" t="s">
        <v>29</v>
      </c>
      <c r="B18" s="711" t="s">
        <v>791</v>
      </c>
      <c r="C18" s="5032">
        <f>+'Phụ lục 7-HĐND'!AD17</f>
        <v>27000</v>
      </c>
    </row>
    <row r="19" spans="1:3" s="386" customFormat="1" ht="17.399999999999999">
      <c r="A19" s="5027">
        <v>3</v>
      </c>
      <c r="B19" s="701" t="s">
        <v>17</v>
      </c>
      <c r="C19" s="5028">
        <f>+'Phụ lục 7-HĐND'!AD18</f>
        <v>26000</v>
      </c>
    </row>
    <row r="20" spans="1:3" s="386" customFormat="1" ht="17.399999999999999">
      <c r="A20" s="5027">
        <v>4</v>
      </c>
      <c r="B20" s="701" t="s">
        <v>792</v>
      </c>
      <c r="C20" s="5028">
        <f>+'Phụ lục 7-HĐND'!AD19</f>
        <v>0</v>
      </c>
    </row>
    <row r="21" spans="1:3" s="386" customFormat="1" ht="17.399999999999999">
      <c r="A21" s="5027">
        <v>4</v>
      </c>
      <c r="B21" s="701" t="s">
        <v>97</v>
      </c>
      <c r="C21" s="5028">
        <f>+'Phụ lục 7-HĐND'!AD20</f>
        <v>800</v>
      </c>
    </row>
    <row r="22" spans="1:3" s="386" customFormat="1" ht="17.399999999999999">
      <c r="A22" s="5027">
        <v>5</v>
      </c>
      <c r="B22" s="701" t="s">
        <v>793</v>
      </c>
      <c r="C22" s="5028">
        <f>SUM(C23:C25)</f>
        <v>15400</v>
      </c>
    </row>
    <row r="23" spans="1:3">
      <c r="A23" s="5034" t="s">
        <v>29</v>
      </c>
      <c r="B23" s="43" t="s">
        <v>794</v>
      </c>
      <c r="C23" s="5032">
        <f>+'Phụ lục 7-HĐND'!AD22</f>
        <v>4500</v>
      </c>
    </row>
    <row r="24" spans="1:3">
      <c r="A24" s="5034" t="s">
        <v>29</v>
      </c>
      <c r="B24" s="43" t="s">
        <v>795</v>
      </c>
      <c r="C24" s="5032">
        <f>+'Phụ lục 7-HĐND'!AD23</f>
        <v>0</v>
      </c>
    </row>
    <row r="25" spans="1:3">
      <c r="A25" s="5034" t="s">
        <v>29</v>
      </c>
      <c r="B25" s="43" t="s">
        <v>796</v>
      </c>
      <c r="C25" s="5032">
        <f>+'Phụ lục 7-HĐND'!AD24</f>
        <v>10900</v>
      </c>
    </row>
    <row r="26" spans="1:3" s="386" customFormat="1" ht="17.399999999999999">
      <c r="A26" s="5027">
        <v>6</v>
      </c>
      <c r="B26" s="701" t="s">
        <v>24</v>
      </c>
      <c r="C26" s="5028">
        <f>SUM(C27:C28)</f>
        <v>5000</v>
      </c>
    </row>
    <row r="27" spans="1:3">
      <c r="A27" s="5034" t="s">
        <v>29</v>
      </c>
      <c r="B27" s="43" t="s">
        <v>790</v>
      </c>
      <c r="C27" s="5032">
        <f>+'Phụ lục 7-HĐND'!AD26</f>
        <v>0</v>
      </c>
    </row>
    <row r="28" spans="1:3">
      <c r="A28" s="5035" t="s">
        <v>29</v>
      </c>
      <c r="B28" s="711" t="s">
        <v>1809</v>
      </c>
      <c r="C28" s="5032">
        <f>+'Phụ lục 7-HĐND'!AD27</f>
        <v>5000</v>
      </c>
    </row>
    <row r="29" spans="1:3" s="386" customFormat="1" ht="17.399999999999999">
      <c r="A29" s="5027">
        <v>7</v>
      </c>
      <c r="B29" s="701" t="s">
        <v>242</v>
      </c>
      <c r="C29" s="5028">
        <f>SUM(C30:C31)</f>
        <v>60000</v>
      </c>
    </row>
    <row r="30" spans="1:3">
      <c r="A30" s="5034" t="s">
        <v>29</v>
      </c>
      <c r="B30" s="43" t="s">
        <v>790</v>
      </c>
      <c r="C30" s="5032">
        <f>+'Phụ lục 7-HĐND'!AD29</f>
        <v>0</v>
      </c>
    </row>
    <row r="31" spans="1:3">
      <c r="A31" s="5035" t="s">
        <v>29</v>
      </c>
      <c r="B31" s="711" t="s">
        <v>1810</v>
      </c>
      <c r="C31" s="5032">
        <f>+'Phụ lục 7-HĐND'!AD30</f>
        <v>60000</v>
      </c>
    </row>
    <row r="32" spans="1:3" s="386" customFormat="1" ht="17.399999999999999">
      <c r="A32" s="5027">
        <v>8</v>
      </c>
      <c r="B32" s="701" t="s">
        <v>798</v>
      </c>
      <c r="C32" s="5028">
        <f>SUM(C33:C35)</f>
        <v>25000</v>
      </c>
    </row>
    <row r="33" spans="1:3">
      <c r="A33" s="5034" t="s">
        <v>29</v>
      </c>
      <c r="B33" s="43" t="s">
        <v>799</v>
      </c>
      <c r="C33" s="5032">
        <f>+'Phụ lục 7-HĐND'!AD32</f>
        <v>3000</v>
      </c>
    </row>
    <row r="34" spans="1:3">
      <c r="A34" s="5034" t="s">
        <v>29</v>
      </c>
      <c r="B34" s="43" t="s">
        <v>800</v>
      </c>
      <c r="C34" s="5032">
        <f>+'Phụ lục 7-HĐND'!AD33</f>
        <v>2000</v>
      </c>
    </row>
    <row r="35" spans="1:3">
      <c r="A35" s="5034" t="s">
        <v>29</v>
      </c>
      <c r="B35" s="43" t="s">
        <v>801</v>
      </c>
      <c r="C35" s="5032">
        <f>+'Phụ lục 7-HĐND'!AD34</f>
        <v>20000</v>
      </c>
    </row>
    <row r="36" spans="1:3" s="386" customFormat="1" ht="17.399999999999999">
      <c r="A36" s="5027">
        <v>9</v>
      </c>
      <c r="B36" s="5036" t="s">
        <v>1811</v>
      </c>
      <c r="C36" s="5028">
        <f>+'Phụ lục 7-HĐND'!AD35</f>
        <v>0</v>
      </c>
    </row>
    <row r="37" spans="1:3">
      <c r="A37" s="5027" t="s">
        <v>33</v>
      </c>
      <c r="B37" s="701" t="s">
        <v>1812</v>
      </c>
      <c r="C37" s="5037"/>
    </row>
    <row r="38" spans="1:3">
      <c r="A38" s="5027"/>
      <c r="B38" s="704" t="s">
        <v>1813</v>
      </c>
      <c r="C38" s="5038">
        <v>1</v>
      </c>
    </row>
    <row r="39" spans="1:3" s="596" customFormat="1">
      <c r="A39" s="4971" t="s">
        <v>182</v>
      </c>
      <c r="B39" s="4972" t="s">
        <v>802</v>
      </c>
      <c r="C39" s="613">
        <f>SUM(C40:C42)</f>
        <v>750709.82700000005</v>
      </c>
    </row>
    <row r="40" spans="1:3" s="596" customFormat="1">
      <c r="A40" s="1926">
        <v>1</v>
      </c>
      <c r="B40" s="4968" t="s">
        <v>803</v>
      </c>
      <c r="C40" s="2608">
        <f>+'Phụ lục 7-HĐND'!AD37</f>
        <v>470689</v>
      </c>
    </row>
    <row r="41" spans="1:3" s="596" customFormat="1">
      <c r="A41" s="1926">
        <v>2</v>
      </c>
      <c r="B41" s="1927" t="s">
        <v>3136</v>
      </c>
      <c r="C41" s="2608">
        <f>+'Phụ lục 7-HĐND'!AD38</f>
        <v>201862</v>
      </c>
    </row>
    <row r="42" spans="1:3" s="596" customFormat="1">
      <c r="A42" s="1926">
        <v>3</v>
      </c>
      <c r="B42" s="4968" t="s">
        <v>3206</v>
      </c>
      <c r="C42" s="2608">
        <f>+'Phụ lục 7-HĐND'!AD39</f>
        <v>78158.827000000005</v>
      </c>
    </row>
    <row r="43" spans="1:3" s="596" customFormat="1" ht="18.600000000000001" thickBot="1">
      <c r="A43" s="4539" t="s">
        <v>215</v>
      </c>
      <c r="B43" s="5042" t="s">
        <v>1721</v>
      </c>
      <c r="C43" s="5077">
        <f>+'Phụ lục 7-HĐND'!AD40</f>
        <v>0</v>
      </c>
    </row>
    <row r="44" spans="1:3" ht="18.600000000000001" thickTop="1">
      <c r="A44" s="2914"/>
      <c r="B44" s="2914" t="s">
        <v>809</v>
      </c>
      <c r="C44" s="2915"/>
    </row>
    <row r="46" spans="1:3">
      <c r="A46" s="6746" t="s">
        <v>1717</v>
      </c>
      <c r="B46" s="6746"/>
      <c r="C46" s="6746"/>
    </row>
    <row r="47" spans="1:3" ht="43.5" customHeight="1">
      <c r="A47" s="6761" t="str">
        <f>+'H. THÁP MƯỜI'!A47:C47</f>
        <v xml:space="preserve">(1): Dự toán thu ngân sách nhà nước năm 2025 không bao gồm các khoản huy động nhân dân đóng góp, các khoản ghi thu, ghi chi vào ngân sách nhà nước theo chế độ quy định.
</v>
      </c>
      <c r="B47" s="6761"/>
      <c r="C47" s="6761"/>
    </row>
    <row r="48" spans="1:3" ht="101.25" customHeight="1">
      <c r="A48" s="6761"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283" t="str">
        <f>+'H. THÁP MƯỜI'!A65:C65</f>
        <v>PHỤ LỤC II</v>
      </c>
      <c r="B64" s="6283"/>
      <c r="C64" s="6283"/>
    </row>
    <row r="65" spans="1:3">
      <c r="A65" s="6283" t="str">
        <f>+'H. THÁP MƯỜI'!A66:C66</f>
        <v>NHIỆM VỤ CHI NGÂN SÁCH HUYỆN, THÀNH PHỐ NĂM 2025</v>
      </c>
      <c r="B65" s="6283"/>
      <c r="C65" s="6283"/>
    </row>
    <row r="66" spans="1:3">
      <c r="A66" s="6283" t="str">
        <f>A3</f>
        <v>HUYỆN LẤP VÒ</v>
      </c>
      <c r="B66" s="6283"/>
      <c r="C66" s="6283"/>
    </row>
    <row r="67" spans="1:3">
      <c r="A67" s="6500" t="str">
        <f>A4</f>
        <v>(Kèm theo Quyết định số        /QĐ-UBND-HC ngày      /12/2024 của Uỷ ban nhân dân tỉnh Đồng Tháp)</v>
      </c>
      <c r="B67" s="6500"/>
      <c r="C67" s="6500"/>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THÁP MƯỜI'!B64</f>
        <v>Nội dung</v>
      </c>
      <c r="C70" s="4543" t="str">
        <f>C7</f>
        <v>Dự toán năm 2025</v>
      </c>
    </row>
    <row r="71" spans="1:3">
      <c r="A71" s="5049"/>
      <c r="B71" s="693" t="str">
        <f>'[2]H. THÁP MƯỜI'!B65</f>
        <v>Tổng chi (I+II+III+IV)</v>
      </c>
      <c r="C71" s="5024">
        <f>C72+C76+C80+C81+C82</f>
        <v>1007609.827</v>
      </c>
    </row>
    <row r="72" spans="1:3">
      <c r="A72" s="5050" t="s">
        <v>3</v>
      </c>
      <c r="B72" s="2910" t="str">
        <f>'[2]H. THÁP MƯỜI'!B66</f>
        <v>Chi đầu tư phát triển (1)</v>
      </c>
      <c r="C72" s="5028">
        <f>SUM(C74:C75)</f>
        <v>96000</v>
      </c>
    </row>
    <row r="73" spans="1:3">
      <c r="A73" s="5051"/>
      <c r="B73" s="2916" t="str">
        <f>'[2]H. THÁP MƯỜI'!B67</f>
        <v>Bao gồm:</v>
      </c>
      <c r="C73" s="5032"/>
    </row>
    <row r="74" spans="1:3">
      <c r="A74" s="5052">
        <v>1</v>
      </c>
      <c r="B74" s="2917" t="str">
        <f>'[2]H. THÁP MƯỜI'!B68</f>
        <v>Chi đầu tư xây dựng cơ bản</v>
      </c>
      <c r="C74" s="5032">
        <f>+'Phụ lục 8-HĐND'!L9</f>
        <v>42000</v>
      </c>
    </row>
    <row r="75" spans="1:3">
      <c r="A75" s="5052">
        <v>2</v>
      </c>
      <c r="B75" s="2917" t="str">
        <f>'[2]H. THÁP MƯỜI'!B69</f>
        <v>Chi đầu tư từ nguồn thu tiền sử dụng đất</v>
      </c>
      <c r="C75" s="5032">
        <f>+'Phụ lục 8-HĐND'!L10</f>
        <v>54000</v>
      </c>
    </row>
    <row r="76" spans="1:3">
      <c r="A76" s="5050" t="s">
        <v>33</v>
      </c>
      <c r="B76" s="2910" t="str">
        <f>'[2]H. THÁP MƯỜI'!B70</f>
        <v>Chi thường xuyên (2)</v>
      </c>
      <c r="C76" s="5028">
        <f>+'Phụ lục 8-HĐND'!L11</f>
        <v>865247.91131489223</v>
      </c>
    </row>
    <row r="77" spans="1:3">
      <c r="A77" s="5053"/>
      <c r="B77" s="2907" t="str">
        <f>'[2]H. THÁP MƯỜI'!B71</f>
        <v>Bao gồm:</v>
      </c>
      <c r="C77" s="5032"/>
    </row>
    <row r="78" spans="1:3">
      <c r="A78" s="5052">
        <v>1</v>
      </c>
      <c r="B78" s="2909" t="str">
        <f>'[2]H. THÁP MƯỜI'!B72</f>
        <v>Sự nghiệp giáo dục - đào tạo (3)</v>
      </c>
      <c r="C78" s="5032">
        <f>+'Phụ lục 8-HĐND'!L13</f>
        <v>451849.5</v>
      </c>
    </row>
    <row r="79" spans="1:3">
      <c r="A79" s="5052">
        <v>2</v>
      </c>
      <c r="B79" s="2909" t="str">
        <f>'[2]H. THÁP MƯỜI'!B73</f>
        <v>Các khoản chi thường xuyên còn lại</v>
      </c>
      <c r="C79" s="5032">
        <f>+'Phụ lục 8-HĐND'!L14</f>
        <v>413398.41131489223</v>
      </c>
    </row>
    <row r="80" spans="1:3">
      <c r="A80" s="5050" t="s">
        <v>182</v>
      </c>
      <c r="B80" s="2910" t="str">
        <f>'[2]H. THÁP MƯỜI'!B74</f>
        <v>Dự phòng ngân sách</v>
      </c>
      <c r="C80" s="5028">
        <f>+'Phụ lục 8-HĐND'!L15</f>
        <v>18754.400000000001</v>
      </c>
    </row>
    <row r="81" spans="1:3">
      <c r="A81" s="5050" t="s">
        <v>215</v>
      </c>
      <c r="B81" s="2910" t="str">
        <f>'[2]H. THÁP MƯỜI'!B75</f>
        <v>Chi tạo nguồn cải cách tiền lương</v>
      </c>
      <c r="C81" s="5028">
        <f>+'Phụ lục 8-HĐND'!L16</f>
        <v>0</v>
      </c>
    </row>
    <row r="82" spans="1:3">
      <c r="A82" s="5073" t="s">
        <v>718</v>
      </c>
      <c r="B82" s="701" t="str">
        <f>'[2]H. THÁP MƯỜI'!B76</f>
        <v>Chi từ nguồn ngân sách cấp Tỉnh bổ sung có mục tiêu</v>
      </c>
      <c r="C82" s="5028">
        <f>SUM(C83:C87)</f>
        <v>27607.515685107792</v>
      </c>
    </row>
    <row r="83" spans="1:3">
      <c r="A83" s="5055" t="s">
        <v>29</v>
      </c>
      <c r="B83" s="704" t="str">
        <f>+'H. THÁP MƯỜI'!B84</f>
        <v>Chi đầu tư xây dựng cơ bản</v>
      </c>
      <c r="C83" s="5032">
        <f>+'Phụ lục 8-HĐND'!L18</f>
        <v>0</v>
      </c>
    </row>
    <row r="84" spans="1:3">
      <c r="A84" s="5055" t="s">
        <v>29</v>
      </c>
      <c r="B84" s="704" t="str">
        <f>+'H. THÁP MƯỜI'!B85</f>
        <v>Chi đầu tư từ nguồn xổ số kiến thiết</v>
      </c>
      <c r="C84" s="5032">
        <f>+'Phụ lục 8-HĐND'!L19</f>
        <v>0</v>
      </c>
    </row>
    <row r="85" spans="1:3">
      <c r="A85" s="5055" t="s">
        <v>29</v>
      </c>
      <c r="B85" s="704" t="str">
        <f>+'H. THÁP MƯỜI'!B86</f>
        <v>Chi từ nguồn ngân sách trung ương bổ sung có mục tiêu (kinh phí biên chế giáo viên tăng thêm)</v>
      </c>
      <c r="C85" s="5032">
        <f>+'Phụ lục 8-HĐND'!L20</f>
        <v>859</v>
      </c>
    </row>
    <row r="86" spans="1:3">
      <c r="A86" s="5056" t="s">
        <v>29</v>
      </c>
      <c r="B86" s="704" t="str">
        <f>+'H. THÁP MƯỜI'!B87</f>
        <v>Chi từ nguồn ngân sách trung ương bổ sung có mục tiêu (kinh phí hỗ trợ địa phương sản xuất lúa năm 2025)</v>
      </c>
      <c r="C86" s="5032">
        <f>+'Phụ lục 8-HĐND'!L21</f>
        <v>3500</v>
      </c>
    </row>
    <row r="87" spans="1:3" ht="18.600000000000001" thickBot="1">
      <c r="A87" s="5057"/>
      <c r="B87" s="5058" t="str">
        <f>+'H. THÁP MƯỜI'!B88</f>
        <v>Chi từ nguồn ngân sách trung ương bổ sung có mục tiêu (chính sách an sinh xã hội năm 2025)</v>
      </c>
      <c r="C87" s="5059">
        <f>+'Phụ lục 8-HĐND'!L22</f>
        <v>23248.515685107792</v>
      </c>
    </row>
    <row r="88" spans="1:3" ht="18.600000000000001" thickTop="1"/>
    <row r="89" spans="1:3">
      <c r="A89" s="588" t="s">
        <v>1717</v>
      </c>
      <c r="B89" s="2903"/>
    </row>
    <row r="90" spans="1:3">
      <c r="A90" s="6763" t="s">
        <v>1828</v>
      </c>
      <c r="B90" s="6764"/>
      <c r="C90" s="6764"/>
    </row>
    <row r="91" spans="1:3" ht="61.5" customHeight="1">
      <c r="A91" s="6774"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71"/>
      <c r="C91" s="6771"/>
    </row>
    <row r="92" spans="1:3">
      <c r="A92" s="6771" t="str">
        <f>+'H. THÁP MƯỜI'!A93:C93</f>
        <v>- Chưa bao gồm chi đầu tư từ nguồn vốn do ngân sách cấp tỉnh quản lý và phân bổ bổ sung có mục tiêu cho ngân sách huyện, thành phố</v>
      </c>
      <c r="B92" s="6771"/>
      <c r="C92" s="6771"/>
    </row>
    <row r="93" spans="1:3">
      <c r="A93" s="6766" t="s">
        <v>1829</v>
      </c>
      <c r="B93" s="6766"/>
      <c r="C93" s="6766"/>
    </row>
    <row r="94" spans="1:3" ht="65.25" customHeight="1">
      <c r="A94" s="6771"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71"/>
      <c r="C94" s="6771"/>
    </row>
    <row r="95" spans="1:3" ht="39" customHeight="1">
      <c r="A95" s="6772"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2"/>
      <c r="C95" s="6772"/>
    </row>
    <row r="96" spans="1:3">
      <c r="A96" s="381" t="str">
        <f>+'H. THÁP MƯỜI'!A97</f>
        <v xml:space="preserve">- Bao gồm 10% tiết kiệm tăng thêm năm 2025 so với năm 2024 để thực hiện cải cách tiền lương năm 2025 là: </v>
      </c>
      <c r="C96" s="2912" t="s">
        <v>1830</v>
      </c>
    </row>
    <row r="97" spans="1:3" s="2704" customFormat="1" ht="17.399999999999999">
      <c r="A97" s="2704" t="str">
        <f>'[2]H. THÁP MƯỜI'!A91</f>
        <v>(3): Trong đó:</v>
      </c>
    </row>
    <row r="98" spans="1:3" s="2705" customFormat="1" ht="60" customHeight="1">
      <c r="A98" s="6771"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71"/>
      <c r="C98" s="6771"/>
    </row>
    <row r="122" spans="1:3">
      <c r="A122" s="6283" t="str">
        <f>+'H. THÁP MƯỜI'!A125:C125</f>
        <v>PHỤ LỤC III</v>
      </c>
      <c r="B122" s="6283"/>
      <c r="C122" s="6283"/>
    </row>
    <row r="123" spans="1:3">
      <c r="A123" s="6283" t="str">
        <f>+'H. THÁP MƯỜI'!A126:C126</f>
        <v>CHI TỪ NGUỒN NGÂN SÁCH CẤP TỈNH BỔ SUNG CÓ MỤC TIÊU NĂM 2025</v>
      </c>
      <c r="B123" s="6283"/>
      <c r="C123" s="6283"/>
    </row>
    <row r="124" spans="1:3">
      <c r="A124" s="6283" t="str">
        <f>A66</f>
        <v>HUYỆN LẤP VÒ</v>
      </c>
      <c r="B124" s="6283"/>
      <c r="C124" s="6283"/>
    </row>
    <row r="125" spans="1:3">
      <c r="A125" s="6498" t="str">
        <f>+A67</f>
        <v>(Kèm theo Quyết định số        /QĐ-UBND-HC ngày      /12/2024 của Uỷ ban nhân dân tỉnh Đồng Tháp)</v>
      </c>
      <c r="B125" s="6498"/>
      <c r="C125" s="6498"/>
    </row>
    <row r="127" spans="1:3" ht="18.600000000000001" thickBot="1">
      <c r="A127" s="2899"/>
      <c r="B127" s="2899"/>
      <c r="C127" s="2883" t="str">
        <f>C69</f>
        <v>Đơn vị tính: Triệu đồng</v>
      </c>
    </row>
    <row r="128" spans="1:3" ht="35.4" thickTop="1">
      <c r="A128" s="5014" t="s">
        <v>136</v>
      </c>
      <c r="B128" s="4862" t="s">
        <v>137</v>
      </c>
      <c r="C128" s="4861" t="str">
        <f>+C70</f>
        <v>Dự toán năm 2025</v>
      </c>
    </row>
    <row r="129" spans="1:5">
      <c r="A129" s="5015"/>
      <c r="B129" s="682" t="s">
        <v>3196</v>
      </c>
      <c r="C129" s="5016">
        <f>SUM(C130:C141)</f>
        <v>78158.827000000005</v>
      </c>
      <c r="E129" s="667">
        <f>+C42-C129</f>
        <v>0</v>
      </c>
    </row>
    <row r="130" spans="1:5" ht="36">
      <c r="A130" s="593">
        <v>1</v>
      </c>
      <c r="B130" s="5022" t="s">
        <v>805</v>
      </c>
      <c r="C130" s="4538">
        <f>+'Phụ lục số 8.1'!CB14</f>
        <v>10564.41</v>
      </c>
    </row>
    <row r="131" spans="1:5">
      <c r="A131" s="593">
        <v>2</v>
      </c>
      <c r="B131" s="5022" t="str">
        <f>+'H. THÁP MƯỜI'!B134</f>
        <v>Kinh phí hỗ trợ địa phương sản xuất lúa</v>
      </c>
      <c r="C131" s="4538">
        <f>+'Phụ lục số 8.1'!CB15</f>
        <v>11500</v>
      </c>
    </row>
    <row r="132" spans="1:5">
      <c r="A132" s="593">
        <v>3</v>
      </c>
      <c r="B132" s="5022" t="str">
        <f>+'H. THÁP MƯỜI'!B135</f>
        <v>Kinh phí biên chế giáo viên tăng thêm</v>
      </c>
      <c r="C132" s="4538">
        <f>+'Phụ lục số 8.1'!CB18</f>
        <v>859</v>
      </c>
    </row>
    <row r="133" spans="1:5" ht="36">
      <c r="A133" s="593">
        <v>4</v>
      </c>
      <c r="B133" s="2525" t="s">
        <v>1608</v>
      </c>
      <c r="C133" s="4538">
        <f>+'Phụ lục số 8.3-CĐCS'!EK13+'Phụ lục số 8.3-CĐCS'!EK14</f>
        <v>463</v>
      </c>
    </row>
    <row r="134" spans="1:5">
      <c r="A134" s="593">
        <v>5</v>
      </c>
      <c r="B134" s="2525" t="s">
        <v>3197</v>
      </c>
      <c r="C134" s="5018">
        <v>0</v>
      </c>
    </row>
    <row r="135" spans="1:5" ht="36">
      <c r="A135" s="593">
        <v>6</v>
      </c>
      <c r="B135" s="2525" t="s">
        <v>3198</v>
      </c>
      <c r="C135" s="5018">
        <f>+'Phụ lục số 8.3-CĐCS'!EK15</f>
        <v>213</v>
      </c>
    </row>
    <row r="136" spans="1:5" ht="36">
      <c r="A136" s="593">
        <v>7</v>
      </c>
      <c r="B136" s="2525" t="s">
        <v>3199</v>
      </c>
      <c r="C136" s="5018">
        <f>+'Phụ lục số 8.3-CĐCS'!EK17+'Phụ lục số 8.3-CĐCS'!EK18</f>
        <v>42449</v>
      </c>
    </row>
    <row r="137" spans="1:5" ht="36">
      <c r="A137" s="593">
        <v>8</v>
      </c>
      <c r="B137" s="2525" t="s">
        <v>1093</v>
      </c>
      <c r="C137" s="5017">
        <v>0</v>
      </c>
    </row>
    <row r="138" spans="1:5" ht="36">
      <c r="A138" s="593">
        <v>9</v>
      </c>
      <c r="B138" s="5012" t="s">
        <v>3156</v>
      </c>
      <c r="C138" s="5018">
        <f>+'Phụ lục số 8.1'!CB20</f>
        <v>1249.98</v>
      </c>
    </row>
    <row r="139" spans="1:5">
      <c r="A139" s="593">
        <v>10</v>
      </c>
      <c r="B139" s="5013" t="s">
        <v>1510</v>
      </c>
      <c r="C139" s="5018">
        <f>+'Phụ lục số 8.1'!CB22</f>
        <v>6150</v>
      </c>
    </row>
    <row r="140" spans="1:5">
      <c r="A140" s="593">
        <v>11</v>
      </c>
      <c r="B140" s="5013" t="str">
        <f>+'H. THÁP MƯỜI'!B143</f>
        <v>Kinh phí thực hiện hỗ trợ đào tạo nghề trình độ sơ cấp và đào tạo dưới 03 tháng năm 2025</v>
      </c>
      <c r="C140" s="5018">
        <f>+'Phụ lục số 8.1'!CB21</f>
        <v>475</v>
      </c>
    </row>
    <row r="141" spans="1:5" ht="18.600000000000001" thickBot="1">
      <c r="A141" s="5019">
        <v>12</v>
      </c>
      <c r="B141" s="5020" t="str">
        <f>+'H. THÁP MƯỜI'!B144</f>
        <v>Kinh phí tổ chức đại hội Đảng nhiệm kỳ 2025 - 2030</v>
      </c>
      <c r="C141" s="5021">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+'H. LẤP VÒ'!A1:C1</f>
        <v>PHỤ LỤC I</v>
      </c>
      <c r="B1" s="6283"/>
      <c r="C1" s="6283"/>
    </row>
    <row r="2" spans="1:3">
      <c r="A2" s="6283" t="str">
        <f>+'H. LẤP VÒ'!A2:C2</f>
        <v>NHIỆM VỤ THU NGÂN SÁCH NHÀ NƯỚC NĂM 2025</v>
      </c>
      <c r="B2" s="6283"/>
      <c r="C2" s="6283"/>
    </row>
    <row r="3" spans="1:3">
      <c r="A3" s="6283" t="s">
        <v>1496</v>
      </c>
      <c r="B3" s="6283"/>
      <c r="C3" s="6283"/>
    </row>
    <row r="4" spans="1:3">
      <c r="A4" s="6500" t="str">
        <f>+'H. LẤP VÒ'!A4:C4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221700</v>
      </c>
    </row>
    <row r="9" spans="1:3" s="2642" customFormat="1">
      <c r="A9" s="5025"/>
      <c r="B9" s="697" t="s">
        <v>784</v>
      </c>
      <c r="C9" s="5026">
        <f>C8-C29</f>
        <v>151700</v>
      </c>
    </row>
    <row r="10" spans="1:3" s="386" customFormat="1" ht="17.399999999999999">
      <c r="A10" s="5027">
        <v>1</v>
      </c>
      <c r="B10" s="701" t="s">
        <v>1477</v>
      </c>
      <c r="C10" s="5028">
        <f>SUM(C11:C15)</f>
        <v>65000</v>
      </c>
    </row>
    <row r="11" spans="1:3">
      <c r="A11" s="5029" t="s">
        <v>29</v>
      </c>
      <c r="B11" s="704" t="s">
        <v>786</v>
      </c>
      <c r="C11" s="5032">
        <f>+'Phụ lục 7-HĐND'!AG10</f>
        <v>35980</v>
      </c>
    </row>
    <row r="12" spans="1:3">
      <c r="A12" s="5029" t="s">
        <v>29</v>
      </c>
      <c r="B12" s="704" t="s">
        <v>787</v>
      </c>
      <c r="C12" s="5032">
        <f>+'Phụ lục 7-HĐND'!AG11</f>
        <v>27400</v>
      </c>
    </row>
    <row r="13" spans="1:3">
      <c r="A13" s="5029" t="s">
        <v>29</v>
      </c>
      <c r="B13" s="704" t="s">
        <v>788</v>
      </c>
      <c r="C13" s="5032">
        <f>+'Phụ lục 7-HĐND'!AG12</f>
        <v>200</v>
      </c>
    </row>
    <row r="14" spans="1:3">
      <c r="A14" s="5029" t="s">
        <v>29</v>
      </c>
      <c r="B14" s="704" t="s">
        <v>10</v>
      </c>
      <c r="C14" s="5032">
        <f>+'Phụ lục 7-HĐND'!AG13</f>
        <v>1420</v>
      </c>
    </row>
    <row r="15" spans="1:3">
      <c r="A15" s="5029" t="s">
        <v>29</v>
      </c>
      <c r="B15" s="704" t="s">
        <v>789</v>
      </c>
      <c r="C15" s="5032">
        <f>+'Phụ lục 7-HĐND'!AG14</f>
        <v>0</v>
      </c>
    </row>
    <row r="16" spans="1:3" s="386" customFormat="1" ht="17.399999999999999">
      <c r="A16" s="5027">
        <v>2</v>
      </c>
      <c r="B16" s="701" t="s">
        <v>20</v>
      </c>
      <c r="C16" s="5028">
        <f>SUM(C17:C18)</f>
        <v>28000</v>
      </c>
    </row>
    <row r="17" spans="1:3" hidden="1">
      <c r="A17" s="5031" t="s">
        <v>29</v>
      </c>
      <c r="B17" s="43" t="s">
        <v>790</v>
      </c>
      <c r="C17" s="5032">
        <f>+'Phụ lục 7-HĐND'!AG16</f>
        <v>0</v>
      </c>
    </row>
    <row r="18" spans="1:3" hidden="1">
      <c r="A18" s="5033" t="s">
        <v>29</v>
      </c>
      <c r="B18" s="711" t="s">
        <v>791</v>
      </c>
      <c r="C18" s="5032">
        <f>+'Phụ lục 7-HĐND'!AG17</f>
        <v>28000</v>
      </c>
    </row>
    <row r="19" spans="1:3">
      <c r="A19" s="5027">
        <v>3</v>
      </c>
      <c r="B19" s="701" t="s">
        <v>17</v>
      </c>
      <c r="C19" s="5028">
        <f>+'Phụ lục 7-HĐND'!AG18</f>
        <v>26500</v>
      </c>
    </row>
    <row r="20" spans="1:3">
      <c r="A20" s="5027">
        <v>4</v>
      </c>
      <c r="B20" s="701" t="s">
        <v>792</v>
      </c>
      <c r="C20" s="5028">
        <f>+'Phụ lục 7-HĐND'!AG19</f>
        <v>0</v>
      </c>
    </row>
    <row r="21" spans="1:3">
      <c r="A21" s="5027">
        <v>4</v>
      </c>
      <c r="B21" s="701" t="s">
        <v>97</v>
      </c>
      <c r="C21" s="5028">
        <f>+'Phụ lục 7-HĐND'!AG20</f>
        <v>1200</v>
      </c>
    </row>
    <row r="22" spans="1:3" s="386" customFormat="1" ht="17.399999999999999">
      <c r="A22" s="5027">
        <v>5</v>
      </c>
      <c r="B22" s="701" t="s">
        <v>793</v>
      </c>
      <c r="C22" s="5028">
        <f>SUM(C23:C25)</f>
        <v>8000</v>
      </c>
    </row>
    <row r="23" spans="1:3">
      <c r="A23" s="5034" t="s">
        <v>29</v>
      </c>
      <c r="B23" s="43" t="s">
        <v>794</v>
      </c>
      <c r="C23" s="5032">
        <f>+'Phụ lục 7-HĐND'!AG22</f>
        <v>2500</v>
      </c>
    </row>
    <row r="24" spans="1:3">
      <c r="A24" s="5034" t="s">
        <v>29</v>
      </c>
      <c r="B24" s="43" t="s">
        <v>795</v>
      </c>
      <c r="C24" s="5032">
        <f>+'Phụ lục 7-HĐND'!AG23</f>
        <v>300</v>
      </c>
    </row>
    <row r="25" spans="1:3">
      <c r="A25" s="5034" t="s">
        <v>29</v>
      </c>
      <c r="B25" s="43" t="s">
        <v>796</v>
      </c>
      <c r="C25" s="5032">
        <f>+'Phụ lục 7-HĐND'!AG24</f>
        <v>5200</v>
      </c>
    </row>
    <row r="26" spans="1:3" s="386" customFormat="1" ht="17.399999999999999">
      <c r="A26" s="5027">
        <v>6</v>
      </c>
      <c r="B26" s="701" t="s">
        <v>24</v>
      </c>
      <c r="C26" s="5028">
        <f>SUM(C27:C28)</f>
        <v>2000</v>
      </c>
    </row>
    <row r="27" spans="1:3">
      <c r="A27" s="5034" t="s">
        <v>29</v>
      </c>
      <c r="B27" s="43" t="s">
        <v>790</v>
      </c>
      <c r="C27" s="5032">
        <f>+'Phụ lục 7-HĐND'!AG26</f>
        <v>0</v>
      </c>
    </row>
    <row r="28" spans="1:3">
      <c r="A28" s="5035" t="s">
        <v>29</v>
      </c>
      <c r="B28" s="711" t="s">
        <v>1809</v>
      </c>
      <c r="C28" s="5032">
        <f>+'Phụ lục 7-HĐND'!AG27</f>
        <v>2000</v>
      </c>
    </row>
    <row r="29" spans="1:3">
      <c r="A29" s="5027">
        <v>7</v>
      </c>
      <c r="B29" s="701" t="s">
        <v>242</v>
      </c>
      <c r="C29" s="5028">
        <f>SUM(C30:C31)</f>
        <v>70000</v>
      </c>
    </row>
    <row r="30" spans="1:3">
      <c r="A30" s="5034" t="s">
        <v>29</v>
      </c>
      <c r="B30" s="43" t="s">
        <v>790</v>
      </c>
      <c r="C30" s="5032">
        <f>+'Phụ lục 7-HĐND'!AG29</f>
        <v>0</v>
      </c>
    </row>
    <row r="31" spans="1:3">
      <c r="A31" s="5035" t="s">
        <v>29</v>
      </c>
      <c r="B31" s="711" t="s">
        <v>1810</v>
      </c>
      <c r="C31" s="5032">
        <f>+'Phụ lục 7-HĐND'!AG30</f>
        <v>70000</v>
      </c>
    </row>
    <row r="32" spans="1:3" s="386" customFormat="1" ht="17.399999999999999">
      <c r="A32" s="5027">
        <v>8</v>
      </c>
      <c r="B32" s="701" t="s">
        <v>798</v>
      </c>
      <c r="C32" s="5028">
        <f>SUM(C33:C35)</f>
        <v>21000</v>
      </c>
    </row>
    <row r="33" spans="1:3">
      <c r="A33" s="5034" t="s">
        <v>29</v>
      </c>
      <c r="B33" s="43" t="s">
        <v>799</v>
      </c>
      <c r="C33" s="5032">
        <f>+'Phụ lục 7-HĐND'!AG32</f>
        <v>1500</v>
      </c>
    </row>
    <row r="34" spans="1:3">
      <c r="A34" s="5034" t="s">
        <v>29</v>
      </c>
      <c r="B34" s="43" t="s">
        <v>800</v>
      </c>
      <c r="C34" s="5032">
        <f>+'Phụ lục 7-HĐND'!AG33</f>
        <v>1500</v>
      </c>
    </row>
    <row r="35" spans="1:3">
      <c r="A35" s="5034" t="s">
        <v>29</v>
      </c>
      <c r="B35" s="43" t="s">
        <v>801</v>
      </c>
      <c r="C35" s="5032">
        <f>+'Phụ lục 7-HĐND'!AG34</f>
        <v>18000</v>
      </c>
    </row>
    <row r="36" spans="1:3">
      <c r="A36" s="5027">
        <v>9</v>
      </c>
      <c r="B36" s="5036" t="s">
        <v>1811</v>
      </c>
      <c r="C36" s="5028">
        <f>'[2]Phụ lục số 5'!AG35</f>
        <v>0</v>
      </c>
    </row>
    <row r="37" spans="1:3">
      <c r="A37" s="5027" t="s">
        <v>33</v>
      </c>
      <c r="B37" s="701" t="s">
        <v>1812</v>
      </c>
      <c r="C37" s="5037"/>
    </row>
    <row r="38" spans="1:3">
      <c r="A38" s="5027"/>
      <c r="B38" s="704" t="s">
        <v>1813</v>
      </c>
      <c r="C38" s="5038">
        <v>1</v>
      </c>
    </row>
    <row r="39" spans="1:3" s="380" customFormat="1" ht="17.399999999999999">
      <c r="A39" s="4971" t="s">
        <v>182</v>
      </c>
      <c r="B39" s="4972" t="s">
        <v>802</v>
      </c>
      <c r="C39" s="613">
        <f>SUM(C40:C42)</f>
        <v>668080.38300000003</v>
      </c>
    </row>
    <row r="40" spans="1:3" s="380" customFormat="1">
      <c r="A40" s="1926">
        <v>1</v>
      </c>
      <c r="B40" s="4968" t="s">
        <v>803</v>
      </c>
      <c r="C40" s="2608">
        <f>+'Phụ lục 7-HĐND'!AG37</f>
        <v>440874</v>
      </c>
    </row>
    <row r="41" spans="1:3" s="380" customFormat="1">
      <c r="A41" s="1926">
        <v>2</v>
      </c>
      <c r="B41" s="1927" t="s">
        <v>3136</v>
      </c>
      <c r="C41" s="2608">
        <f>+'Phụ lục 7-HĐND'!AG38</f>
        <v>175043</v>
      </c>
    </row>
    <row r="42" spans="1:3" s="380" customFormat="1">
      <c r="A42" s="1926">
        <v>3</v>
      </c>
      <c r="B42" s="4968" t="s">
        <v>3206</v>
      </c>
      <c r="C42" s="2608">
        <f>+'Phụ lục 7-HĐND'!AG39</f>
        <v>52163.383000000002</v>
      </c>
    </row>
    <row r="43" spans="1:3" s="596" customFormat="1" ht="18.600000000000001" thickBot="1">
      <c r="A43" s="4539" t="s">
        <v>215</v>
      </c>
      <c r="B43" s="5042" t="s">
        <v>1721</v>
      </c>
      <c r="C43" s="5082">
        <f>+'Phụ lục 7-HĐND'!AG40</f>
        <v>16209</v>
      </c>
    </row>
    <row r="44" spans="1:3" ht="18.600000000000001" thickTop="1">
      <c r="A44" s="2914"/>
      <c r="B44" s="2914" t="s">
        <v>809</v>
      </c>
      <c r="C44" s="2915"/>
    </row>
    <row r="46" spans="1:3">
      <c r="A46" s="6746" t="s">
        <v>1717</v>
      </c>
      <c r="B46" s="6746"/>
      <c r="C46" s="6746"/>
    </row>
    <row r="47" spans="1:3" ht="39.9" customHeight="1">
      <c r="A47" s="6761" t="str">
        <f>+'H. LẤP VÒ'!A47:C47</f>
        <v xml:space="preserve">(1): Dự toán thu ngân sách nhà nước năm 2025 không bao gồm các khoản huy động nhân dân đóng góp, các khoản ghi thu, ghi chi vào ngân sách nhà nước theo chế độ quy định.
</v>
      </c>
      <c r="B47" s="6761"/>
      <c r="C47" s="6761"/>
    </row>
    <row r="48" spans="1:3" ht="105" customHeight="1">
      <c r="A48" s="6761"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283" t="str">
        <f>+'H. LẤP VÒ'!A64:C64</f>
        <v>PHỤ LỤC II</v>
      </c>
      <c r="B64" s="6283"/>
      <c r="C64" s="6283"/>
    </row>
    <row r="65" spans="1:3">
      <c r="A65" s="6283" t="str">
        <f>+'H. LẤP VÒ'!A65:C65</f>
        <v>NHIỆM VỤ CHI NGÂN SÁCH HUYỆN, THÀNH PHỐ NĂM 2025</v>
      </c>
      <c r="B65" s="6283"/>
      <c r="C65" s="6283"/>
    </row>
    <row r="66" spans="1:3">
      <c r="A66" s="6283" t="str">
        <f>A3</f>
        <v>HUYỆN LAI VUNG</v>
      </c>
      <c r="B66" s="6283"/>
      <c r="C66" s="6283"/>
    </row>
    <row r="67" spans="1:3">
      <c r="A67" s="6500" t="str">
        <f>A4</f>
        <v>(Kèm theo Quyết định số        /QĐ-UBND-HC ngày      /12/2024 của Uỷ ban nhân dân tỉnh Đồng Tháp)</v>
      </c>
      <c r="B67" s="6500"/>
      <c r="C67" s="6500"/>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LẤP VÒ'!B64</f>
        <v>Nội dung</v>
      </c>
      <c r="C70" s="4543" t="str">
        <f>C7</f>
        <v>Dự toán năm 2025</v>
      </c>
    </row>
    <row r="71" spans="1:3">
      <c r="A71" s="5049"/>
      <c r="B71" s="693" t="str">
        <f>'[2]H. LẤP VÒ'!B65</f>
        <v>Tổng chi (I+II+III+IV)</v>
      </c>
      <c r="C71" s="5024">
        <f>C72+C76+C80+C81+C82</f>
        <v>891369.38300000003</v>
      </c>
    </row>
    <row r="72" spans="1:3" s="386" customFormat="1" ht="17.399999999999999">
      <c r="A72" s="5050" t="s">
        <v>3</v>
      </c>
      <c r="B72" s="2910" t="str">
        <f>'[2]H. LẤP VÒ'!B66</f>
        <v>Chi đầu tư phát triển (1)</v>
      </c>
      <c r="C72" s="5028">
        <f>SUM(C74:C75)</f>
        <v>98000</v>
      </c>
    </row>
    <row r="73" spans="1:3">
      <c r="A73" s="5051"/>
      <c r="B73" s="2916" t="str">
        <f>'[2]H. LẤP VÒ'!B67</f>
        <v>Bao gồm:</v>
      </c>
      <c r="C73" s="5032"/>
    </row>
    <row r="74" spans="1:3">
      <c r="A74" s="5052">
        <v>1</v>
      </c>
      <c r="B74" s="2917" t="str">
        <f>'[2]H. LẤP VÒ'!B68</f>
        <v>Chi đầu tư xây dựng cơ bản</v>
      </c>
      <c r="C74" s="5032">
        <f>+'Phụ lục 8-HĐND'!M9</f>
        <v>35000</v>
      </c>
    </row>
    <row r="75" spans="1:3">
      <c r="A75" s="5052">
        <v>2</v>
      </c>
      <c r="B75" s="2917" t="str">
        <f>'[2]H. LẤP VÒ'!B69</f>
        <v>Chi đầu tư từ nguồn thu tiền sử dụng đất</v>
      </c>
      <c r="C75" s="5032">
        <f>+'Phụ lục 8-HĐND'!M10</f>
        <v>63000</v>
      </c>
    </row>
    <row r="76" spans="1:3" s="386" customFormat="1" ht="17.399999999999999">
      <c r="A76" s="5050" t="s">
        <v>33</v>
      </c>
      <c r="B76" s="2910" t="str">
        <f>'[2]H. LẤP VÒ'!B70</f>
        <v>Chi thường xuyên (2)</v>
      </c>
      <c r="C76" s="5028">
        <f>+'Phụ lục 8-HĐND'!M11</f>
        <v>758129.46580050304</v>
      </c>
    </row>
    <row r="77" spans="1:3">
      <c r="A77" s="5053"/>
      <c r="B77" s="2907" t="str">
        <f>'[2]H. LẤP VÒ'!B71</f>
        <v>Bao gồm:</v>
      </c>
      <c r="C77" s="5032"/>
    </row>
    <row r="78" spans="1:3">
      <c r="A78" s="5052">
        <v>1</v>
      </c>
      <c r="B78" s="2909" t="str">
        <f>'[2]H. LẤP VÒ'!B72</f>
        <v>Sự nghiệp giáo dục - đào tạo (3)</v>
      </c>
      <c r="C78" s="5032">
        <f>+'Phụ lục 8-HĐND'!M13</f>
        <v>415824.2</v>
      </c>
    </row>
    <row r="79" spans="1:3">
      <c r="A79" s="5052">
        <v>2</v>
      </c>
      <c r="B79" s="2909" t="str">
        <f>'[2]H. LẤP VÒ'!B73</f>
        <v>Các khoản chi thường xuyên còn lại</v>
      </c>
      <c r="C79" s="5032">
        <f>+'Phụ lục 8-HĐND'!M14</f>
        <v>342305.26580050302</v>
      </c>
    </row>
    <row r="80" spans="1:3" s="386" customFormat="1" ht="17.399999999999999">
      <c r="A80" s="5050" t="s">
        <v>182</v>
      </c>
      <c r="B80" s="2910" t="str">
        <f>'[2]H. LẤP VÒ'!B74</f>
        <v>Dự phòng ngân sách</v>
      </c>
      <c r="C80" s="5028">
        <f>+'Phụ lục 8-HĐND'!M15</f>
        <v>16783.400000000001</v>
      </c>
    </row>
    <row r="81" spans="1:3" s="386" customFormat="1" ht="17.399999999999999">
      <c r="A81" s="5050" t="s">
        <v>215</v>
      </c>
      <c r="B81" s="2910" t="str">
        <f>'[2]H. LẤP VÒ'!B75</f>
        <v>Chi tạo nguồn cải cách tiền lương</v>
      </c>
      <c r="C81" s="5028">
        <f>+'Phụ lục 8-HĐND'!M16</f>
        <v>0</v>
      </c>
    </row>
    <row r="82" spans="1:3" s="386" customFormat="1" ht="17.399999999999999">
      <c r="A82" s="5073" t="s">
        <v>718</v>
      </c>
      <c r="B82" s="701" t="str">
        <f>'[2]H. LẤP VÒ'!B76</f>
        <v>Chi từ nguồn ngân sách cấp Tỉnh bổ sung có mục tiêu</v>
      </c>
      <c r="C82" s="5028">
        <f>SUM(C83:C87)</f>
        <v>18456.517199497026</v>
      </c>
    </row>
    <row r="83" spans="1:3">
      <c r="A83" s="5055" t="s">
        <v>29</v>
      </c>
      <c r="B83" s="704" t="str">
        <f>+'H. LẤP VÒ'!B83</f>
        <v>Chi đầu tư xây dựng cơ bản</v>
      </c>
      <c r="C83" s="5032">
        <f>+'Phụ lục 8-HĐND'!M18</f>
        <v>0</v>
      </c>
    </row>
    <row r="84" spans="1:3">
      <c r="A84" s="5055" t="s">
        <v>29</v>
      </c>
      <c r="B84" s="2901" t="str">
        <f>+'H. LẤP VÒ'!B84</f>
        <v>Chi đầu tư từ nguồn xổ số kiến thiết</v>
      </c>
      <c r="C84" s="5032">
        <f>+'Phụ lục 8-HĐND'!M19</f>
        <v>0</v>
      </c>
    </row>
    <row r="85" spans="1:3">
      <c r="A85" s="5055" t="s">
        <v>29</v>
      </c>
      <c r="B85" s="2901" t="str">
        <f>+'H. LẤP VÒ'!B85</f>
        <v>Chi từ nguồn ngân sách trung ương bổ sung có mục tiêu (kinh phí biên chế giáo viên tăng thêm)</v>
      </c>
      <c r="C85" s="5032">
        <f>+'Phụ lục 8-HĐND'!M20</f>
        <v>857</v>
      </c>
    </row>
    <row r="86" spans="1:3">
      <c r="A86" s="5056" t="s">
        <v>29</v>
      </c>
      <c r="B86" s="2901" t="str">
        <f>+'H. LẤP VÒ'!B86</f>
        <v>Chi từ nguồn ngân sách trung ương bổ sung có mục tiêu (kinh phí hỗ trợ địa phương sản xuất lúa năm 2025)</v>
      </c>
      <c r="C86" s="5032">
        <f>+'Phụ lục 8-HĐND'!M21</f>
        <v>3500</v>
      </c>
    </row>
    <row r="87" spans="1:3" ht="18.600000000000001" thickBot="1">
      <c r="A87" s="5057"/>
      <c r="B87" s="5891" t="str">
        <f>+'H. LẤP VÒ'!B87</f>
        <v>Chi từ nguồn ngân sách trung ương bổ sung có mục tiêu (chính sách an sinh xã hội năm 2025)</v>
      </c>
      <c r="C87" s="5059">
        <f>+'Phụ lục 8-HĐND'!M22</f>
        <v>14099.517199497026</v>
      </c>
    </row>
    <row r="88" spans="1:3" ht="18.600000000000001" thickTop="1"/>
    <row r="89" spans="1:3">
      <c r="A89" s="588" t="s">
        <v>1717</v>
      </c>
      <c r="B89" s="2903"/>
    </row>
    <row r="90" spans="1:3">
      <c r="A90" s="6763" t="s">
        <v>1828</v>
      </c>
      <c r="B90" s="6764"/>
      <c r="C90" s="6764"/>
    </row>
    <row r="91" spans="1:3" ht="63.75" customHeight="1">
      <c r="A91" s="6774"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71"/>
      <c r="C91" s="6771"/>
    </row>
    <row r="92" spans="1:3" ht="39.75" customHeight="1">
      <c r="A92" s="6771" t="str">
        <f>+'H. LẤP VÒ'!A92:C92</f>
        <v>- Chưa bao gồm chi đầu tư từ nguồn vốn do ngân sách cấp tỉnh quản lý và phân bổ bổ sung có mục tiêu cho ngân sách huyện, thành phố</v>
      </c>
      <c r="B92" s="6771"/>
      <c r="C92" s="6771"/>
    </row>
    <row r="93" spans="1:3">
      <c r="A93" s="6766" t="s">
        <v>1829</v>
      </c>
      <c r="B93" s="6766"/>
      <c r="C93" s="6766"/>
    </row>
    <row r="94" spans="1:3" ht="59.25" customHeight="1">
      <c r="A94" s="6771"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71"/>
      <c r="C94" s="6771"/>
    </row>
    <row r="95" spans="1:3" ht="38.25" customHeight="1">
      <c r="A95" s="6772"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2"/>
      <c r="C95" s="6772"/>
    </row>
    <row r="96" spans="1:3">
      <c r="A96" s="381" t="str">
        <f>+'H. LẤP VÒ'!A96</f>
        <v xml:space="preserve">- Bao gồm 10% tiết kiệm tăng thêm năm 2025 so với năm 2024 để thực hiện cải cách tiền lương năm 2025 là: </v>
      </c>
      <c r="C96" s="2912" t="s">
        <v>3276</v>
      </c>
    </row>
    <row r="97" spans="1:3" s="2704" customFormat="1" ht="17.399999999999999">
      <c r="A97" s="2704" t="str">
        <f>'[2]H. LẤP VÒ'!A91</f>
        <v>(3): Trong đó:</v>
      </c>
    </row>
    <row r="98" spans="1:3" s="2925" customFormat="1" ht="64.5" customHeight="1">
      <c r="A98" s="6771"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71"/>
      <c r="C98" s="6771"/>
    </row>
    <row r="121" spans="1:5">
      <c r="A121" s="6283" t="str">
        <f>+'H. LẤP VÒ'!A122:C122</f>
        <v>PHỤ LỤC III</v>
      </c>
      <c r="B121" s="6283"/>
      <c r="C121" s="6283"/>
    </row>
    <row r="122" spans="1:5">
      <c r="A122" s="6283" t="str">
        <f>+'H. LẤP VÒ'!A123:C123</f>
        <v>CHI TỪ NGUỒN NGÂN SÁCH CẤP TỈNH BỔ SUNG CÓ MỤC TIÊU NĂM 2025</v>
      </c>
      <c r="B122" s="6283"/>
      <c r="C122" s="6283"/>
    </row>
    <row r="123" spans="1:5">
      <c r="A123" s="6283" t="str">
        <f>A66</f>
        <v>HUYỆN LAI VUNG</v>
      </c>
      <c r="B123" s="6283"/>
      <c r="C123" s="6283"/>
    </row>
    <row r="124" spans="1:5">
      <c r="A124" s="6498" t="str">
        <f>+A67</f>
        <v>(Kèm theo Quyết định số        /QĐ-UBND-HC ngày      /12/2024 của Uỷ ban nhân dân tỉnh Đồng Tháp)</v>
      </c>
      <c r="B124" s="6498"/>
      <c r="C124" s="6498"/>
    </row>
    <row r="126" spans="1:5" ht="18.600000000000001" thickBot="1">
      <c r="A126" s="2899"/>
      <c r="B126" s="2899"/>
      <c r="C126" s="2883" t="str">
        <f>C69</f>
        <v>Đơn vị tính: Triệu đồng</v>
      </c>
    </row>
    <row r="127" spans="1:5" ht="35.4" thickTop="1">
      <c r="A127" s="5014" t="s">
        <v>136</v>
      </c>
      <c r="B127" s="4862" t="s">
        <v>137</v>
      </c>
      <c r="C127" s="4861" t="str">
        <f>+C70</f>
        <v>Dự toán năm 2025</v>
      </c>
    </row>
    <row r="128" spans="1:5">
      <c r="A128" s="5015"/>
      <c r="B128" s="682" t="s">
        <v>3196</v>
      </c>
      <c r="C128" s="5016">
        <f>SUM(C129:C140)</f>
        <v>52163.383000000002</v>
      </c>
      <c r="E128" s="667">
        <f>+C42-C128</f>
        <v>0</v>
      </c>
    </row>
    <row r="129" spans="1:3" ht="36">
      <c r="A129" s="593">
        <v>1</v>
      </c>
      <c r="B129" s="5022" t="s">
        <v>805</v>
      </c>
      <c r="C129" s="4538">
        <f>+'Phụ lục số 8.1'!CJ14</f>
        <v>9228.09</v>
      </c>
    </row>
    <row r="130" spans="1:3">
      <c r="A130" s="593">
        <v>2</v>
      </c>
      <c r="B130" s="5022" t="str">
        <f>+'H. LẤP VÒ'!B131</f>
        <v>Kinh phí hỗ trợ địa phương sản xuất lúa</v>
      </c>
      <c r="C130" s="4538">
        <f>+'Phụ lục số 8.1'!CJ15</f>
        <v>11500</v>
      </c>
    </row>
    <row r="131" spans="1:3">
      <c r="A131" s="593">
        <v>3</v>
      </c>
      <c r="B131" s="5022" t="str">
        <f>+'H. LẤP VÒ'!B132</f>
        <v>Kinh phí biên chế giáo viên tăng thêm</v>
      </c>
      <c r="C131" s="4538">
        <f>+'Phụ lục số 8.1'!CJ18</f>
        <v>857</v>
      </c>
    </row>
    <row r="132" spans="1:3" ht="36">
      <c r="A132" s="593">
        <v>4</v>
      </c>
      <c r="B132" s="2525" t="s">
        <v>1608</v>
      </c>
      <c r="C132" s="4538">
        <f>+'Phụ lục số 8.3-CĐCS'!EY13+'Phụ lục số 8.3-CĐCS'!EY14+'Phụ lục số 8.3-CĐCS'!EY15</f>
        <v>13</v>
      </c>
    </row>
    <row r="133" spans="1:3">
      <c r="A133" s="593">
        <v>5</v>
      </c>
      <c r="B133" s="5081" t="s">
        <v>3197</v>
      </c>
      <c r="C133" s="5018">
        <v>0</v>
      </c>
    </row>
    <row r="134" spans="1:3" ht="36">
      <c r="A134" s="593">
        <v>6</v>
      </c>
      <c r="B134" s="2525" t="s">
        <v>3198</v>
      </c>
      <c r="C134" s="5018">
        <v>0</v>
      </c>
    </row>
    <row r="135" spans="1:3" ht="36">
      <c r="A135" s="593">
        <v>7</v>
      </c>
      <c r="B135" s="2525" t="s">
        <v>3199</v>
      </c>
      <c r="C135" s="5018">
        <f>+'Phụ lục số 8.3-CĐCS'!EY17</f>
        <v>24948</v>
      </c>
    </row>
    <row r="136" spans="1:3" ht="36">
      <c r="A136" s="593">
        <v>8</v>
      </c>
      <c r="B136" s="2525" t="s">
        <v>1093</v>
      </c>
      <c r="C136" s="4538">
        <f>+'Phụ lục số 8.3-CĐCS'!EY18</f>
        <v>1193</v>
      </c>
    </row>
    <row r="137" spans="1:3" ht="36">
      <c r="A137" s="593">
        <v>9</v>
      </c>
      <c r="B137" s="5012" t="s">
        <v>3156</v>
      </c>
      <c r="C137" s="5018">
        <f>+'Phụ lục số 8.1'!CJ20</f>
        <v>1061.73</v>
      </c>
    </row>
    <row r="138" spans="1:3">
      <c r="A138" s="593">
        <v>10</v>
      </c>
      <c r="B138" s="5013" t="s">
        <v>1510</v>
      </c>
      <c r="C138" s="5018">
        <f>+'Phụ lục số 8.1'!CJ22</f>
        <v>0</v>
      </c>
    </row>
    <row r="139" spans="1:3">
      <c r="A139" s="593">
        <v>11</v>
      </c>
      <c r="B139" s="5013" t="str">
        <f>+'H. LẤP VÒ'!B140</f>
        <v>Kinh phí thực hiện hỗ trợ đào tạo nghề trình độ sơ cấp và đào tạo dưới 03 tháng năm 2025</v>
      </c>
      <c r="C139" s="5018"/>
    </row>
    <row r="140" spans="1:3" ht="18.600000000000001" thickBot="1">
      <c r="A140" s="5019">
        <v>12</v>
      </c>
      <c r="B140" s="5020" t="str">
        <f>+'H. LẤP VÒ'!B141</f>
        <v>Kinh phí tổ chức đại hội Đảng nhiệm kỳ 2025 - 2030</v>
      </c>
      <c r="C140" s="5021">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+'H. LAI VUNG'!A1:C1</f>
        <v>PHỤ LỤC I</v>
      </c>
      <c r="B1" s="6283"/>
      <c r="C1" s="6283"/>
    </row>
    <row r="2" spans="1:3">
      <c r="A2" s="6283" t="str">
        <f>+'H. LAI VUNG'!A2:C2</f>
        <v>NHIỆM VỤ THU NGÂN SÁCH NHÀ NƯỚC NĂM 2025</v>
      </c>
      <c r="B2" s="6283"/>
      <c r="C2" s="6283"/>
    </row>
    <row r="3" spans="1:3">
      <c r="A3" s="6283" t="s">
        <v>1497</v>
      </c>
      <c r="B3" s="6283"/>
      <c r="C3" s="6283"/>
    </row>
    <row r="4" spans="1:3">
      <c r="A4" s="6500" t="str">
        <f>+'H. LAI VUNG'!A4:C4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23" t="s">
        <v>3</v>
      </c>
      <c r="B8" s="694" t="s">
        <v>783</v>
      </c>
      <c r="C8" s="5024">
        <f>C10+C16+C19+C20+C21+C22+C26+C29+C32+C36</f>
        <v>707000</v>
      </c>
    </row>
    <row r="9" spans="1:3" s="2642" customFormat="1">
      <c r="A9" s="5025"/>
      <c r="B9" s="697" t="s">
        <v>784</v>
      </c>
      <c r="C9" s="5026">
        <f>C8-C29</f>
        <v>312000</v>
      </c>
    </row>
    <row r="10" spans="1:3" s="386" customFormat="1" ht="17.399999999999999">
      <c r="A10" s="5027">
        <v>1</v>
      </c>
      <c r="B10" s="701" t="s">
        <v>1477</v>
      </c>
      <c r="C10" s="5028">
        <f>SUM(C11:C15)</f>
        <v>163000</v>
      </c>
    </row>
    <row r="11" spans="1:3">
      <c r="A11" s="5029" t="s">
        <v>29</v>
      </c>
      <c r="B11" s="704" t="s">
        <v>786</v>
      </c>
      <c r="C11" s="5032">
        <f>+'Phụ lục 7-HĐND'!AJ10</f>
        <v>94600</v>
      </c>
    </row>
    <row r="12" spans="1:3">
      <c r="A12" s="5029" t="s">
        <v>29</v>
      </c>
      <c r="B12" s="704" t="s">
        <v>787</v>
      </c>
      <c r="C12" s="5032">
        <f>+'Phụ lục 7-HĐND'!AJ11</f>
        <v>67500</v>
      </c>
    </row>
    <row r="13" spans="1:3">
      <c r="A13" s="5029" t="s">
        <v>29</v>
      </c>
      <c r="B13" s="704" t="s">
        <v>788</v>
      </c>
      <c r="C13" s="5032">
        <f>+'Phụ lục 7-HĐND'!AJ12</f>
        <v>500</v>
      </c>
    </row>
    <row r="14" spans="1:3">
      <c r="A14" s="5029" t="s">
        <v>29</v>
      </c>
      <c r="B14" s="704" t="s">
        <v>10</v>
      </c>
      <c r="C14" s="5032">
        <f>+'Phụ lục 7-HĐND'!AJ13</f>
        <v>400</v>
      </c>
    </row>
    <row r="15" spans="1:3">
      <c r="A15" s="5029" t="s">
        <v>29</v>
      </c>
      <c r="B15" s="704" t="s">
        <v>789</v>
      </c>
      <c r="C15" s="5032">
        <f>+'Phụ lục 7-HĐND'!AJ14</f>
        <v>0</v>
      </c>
    </row>
    <row r="16" spans="1:3" s="386" customFormat="1" ht="17.399999999999999">
      <c r="A16" s="5027">
        <v>2</v>
      </c>
      <c r="B16" s="701" t="s">
        <v>20</v>
      </c>
      <c r="C16" s="5028">
        <f>SUM(C17:C18)</f>
        <v>50000</v>
      </c>
    </row>
    <row r="17" spans="1:3" hidden="1">
      <c r="A17" s="5031" t="s">
        <v>29</v>
      </c>
      <c r="B17" s="43" t="s">
        <v>790</v>
      </c>
      <c r="C17" s="5032">
        <f>+'Phụ lục 7-HĐND'!AJ16</f>
        <v>0</v>
      </c>
    </row>
    <row r="18" spans="1:3" hidden="1">
      <c r="A18" s="5033" t="s">
        <v>29</v>
      </c>
      <c r="B18" s="711" t="s">
        <v>791</v>
      </c>
      <c r="C18" s="5032">
        <f>+'Phụ lục 7-HĐND'!AJ17</f>
        <v>50000</v>
      </c>
    </row>
    <row r="19" spans="1:3" s="386" customFormat="1" ht="17.399999999999999">
      <c r="A19" s="5027">
        <v>3</v>
      </c>
      <c r="B19" s="701" t="s">
        <v>17</v>
      </c>
      <c r="C19" s="5028">
        <f>+'Phụ lục 7-HĐND'!AJ18</f>
        <v>30000</v>
      </c>
    </row>
    <row r="20" spans="1:3" s="386" customFormat="1" ht="17.399999999999999">
      <c r="A20" s="5027">
        <v>4</v>
      </c>
      <c r="B20" s="701" t="s">
        <v>792</v>
      </c>
      <c r="C20" s="5028">
        <f>+'Phụ lục 7-HĐND'!AJ19</f>
        <v>0</v>
      </c>
    </row>
    <row r="21" spans="1:3" s="386" customFormat="1" ht="17.399999999999999">
      <c r="A21" s="5027">
        <v>4</v>
      </c>
      <c r="B21" s="701" t="s">
        <v>97</v>
      </c>
      <c r="C21" s="5028">
        <f>+'Phụ lục 7-HĐND'!AJ20</f>
        <v>3000</v>
      </c>
    </row>
    <row r="22" spans="1:3" s="386" customFormat="1" ht="17.399999999999999">
      <c r="A22" s="5027">
        <v>5</v>
      </c>
      <c r="B22" s="701" t="s">
        <v>793</v>
      </c>
      <c r="C22" s="5028">
        <f>SUM(C23:C25)</f>
        <v>15500</v>
      </c>
    </row>
    <row r="23" spans="1:3">
      <c r="A23" s="5034" t="s">
        <v>29</v>
      </c>
      <c r="B23" s="43" t="s">
        <v>794</v>
      </c>
      <c r="C23" s="5032">
        <f>+'Phụ lục 7-HĐND'!AJ22</f>
        <v>4500</v>
      </c>
    </row>
    <row r="24" spans="1:3">
      <c r="A24" s="5034" t="s">
        <v>29</v>
      </c>
      <c r="B24" s="43" t="s">
        <v>795</v>
      </c>
      <c r="C24" s="5032">
        <f>+'Phụ lục 7-HĐND'!AJ23</f>
        <v>1500.0000000000002</v>
      </c>
    </row>
    <row r="25" spans="1:3">
      <c r="A25" s="5034" t="s">
        <v>29</v>
      </c>
      <c r="B25" s="43" t="s">
        <v>796</v>
      </c>
      <c r="C25" s="5032">
        <f>+'Phụ lục 7-HĐND'!AJ24</f>
        <v>9500</v>
      </c>
    </row>
    <row r="26" spans="1:3" s="386" customFormat="1" ht="17.399999999999999">
      <c r="A26" s="5027">
        <v>6</v>
      </c>
      <c r="B26" s="701" t="s">
        <v>24</v>
      </c>
      <c r="C26" s="5028">
        <f>SUM(C27:C28)</f>
        <v>17000</v>
      </c>
    </row>
    <row r="27" spans="1:3">
      <c r="A27" s="5034" t="s">
        <v>29</v>
      </c>
      <c r="B27" s="43" t="s">
        <v>790</v>
      </c>
      <c r="C27" s="5032">
        <f>+'Phụ lục 7-HĐND'!AJ26</f>
        <v>0</v>
      </c>
    </row>
    <row r="28" spans="1:3">
      <c r="A28" s="5035" t="s">
        <v>29</v>
      </c>
      <c r="B28" s="711" t="s">
        <v>1809</v>
      </c>
      <c r="C28" s="5032">
        <f>+'Phụ lục 7-HĐND'!AJ27</f>
        <v>17000</v>
      </c>
    </row>
    <row r="29" spans="1:3" s="386" customFormat="1" ht="17.399999999999999">
      <c r="A29" s="5027">
        <v>7</v>
      </c>
      <c r="B29" s="701" t="s">
        <v>242</v>
      </c>
      <c r="C29" s="5028">
        <f>SUM(C30:C31)</f>
        <v>395000</v>
      </c>
    </row>
    <row r="30" spans="1:3">
      <c r="A30" s="5034" t="s">
        <v>29</v>
      </c>
      <c r="B30" s="43" t="s">
        <v>790</v>
      </c>
      <c r="C30" s="5032">
        <f>+'Phụ lục 7-HĐND'!AJ29</f>
        <v>235000</v>
      </c>
    </row>
    <row r="31" spans="1:3">
      <c r="A31" s="5035" t="s">
        <v>29</v>
      </c>
      <c r="B31" s="711" t="s">
        <v>1810</v>
      </c>
      <c r="C31" s="5032">
        <f>+'Phụ lục 7-HĐND'!AJ30</f>
        <v>160000</v>
      </c>
    </row>
    <row r="32" spans="1:3" s="386" customFormat="1" ht="17.399999999999999">
      <c r="A32" s="5027">
        <v>8</v>
      </c>
      <c r="B32" s="701" t="s">
        <v>798</v>
      </c>
      <c r="C32" s="5028">
        <f>SUM(C33:C35)</f>
        <v>33000</v>
      </c>
    </row>
    <row r="33" spans="1:3">
      <c r="A33" s="5034" t="s">
        <v>29</v>
      </c>
      <c r="B33" s="43" t="s">
        <v>799</v>
      </c>
      <c r="C33" s="5032">
        <f>+'Phụ lục 7-HĐND'!AJ32</f>
        <v>5000</v>
      </c>
    </row>
    <row r="34" spans="1:3">
      <c r="A34" s="5034" t="s">
        <v>29</v>
      </c>
      <c r="B34" s="43" t="s">
        <v>800</v>
      </c>
      <c r="C34" s="5032">
        <f>+'Phụ lục 7-HĐND'!AJ33</f>
        <v>3000</v>
      </c>
    </row>
    <row r="35" spans="1:3">
      <c r="A35" s="5034" t="s">
        <v>29</v>
      </c>
      <c r="B35" s="43" t="s">
        <v>801</v>
      </c>
      <c r="C35" s="5032">
        <f>+'Phụ lục 7-HĐND'!AJ34</f>
        <v>25000</v>
      </c>
    </row>
    <row r="36" spans="1:3" s="386" customFormat="1" ht="17.399999999999999">
      <c r="A36" s="5027">
        <v>9</v>
      </c>
      <c r="B36" s="5036" t="s">
        <v>1811</v>
      </c>
      <c r="C36" s="5028">
        <f>+'Phụ lục 7-HĐND'!AJ35</f>
        <v>500</v>
      </c>
    </row>
    <row r="37" spans="1:3" s="386" customFormat="1" ht="17.399999999999999">
      <c r="A37" s="5027" t="s">
        <v>33</v>
      </c>
      <c r="B37" s="701" t="s">
        <v>1812</v>
      </c>
      <c r="C37" s="5083"/>
    </row>
    <row r="38" spans="1:3" s="386" customFormat="1">
      <c r="A38" s="5027"/>
      <c r="B38" s="704" t="s">
        <v>1813</v>
      </c>
      <c r="C38" s="5084">
        <f>100%</f>
        <v>1</v>
      </c>
    </row>
    <row r="39" spans="1:3" s="380" customFormat="1" ht="17.399999999999999">
      <c r="A39" s="4971" t="s">
        <v>182</v>
      </c>
      <c r="B39" s="4972" t="s">
        <v>802</v>
      </c>
      <c r="C39" s="613">
        <f>SUM(C40:C42)</f>
        <v>304362.73499999999</v>
      </c>
    </row>
    <row r="40" spans="1:3" s="596" customFormat="1">
      <c r="A40" s="1926">
        <v>1</v>
      </c>
      <c r="B40" s="4968" t="s">
        <v>803</v>
      </c>
      <c r="C40" s="2608">
        <f>+'Phụ lục 7-HĐND'!AJ37</f>
        <v>224584</v>
      </c>
    </row>
    <row r="41" spans="1:3" s="596" customFormat="1">
      <c r="A41" s="1926">
        <v>2</v>
      </c>
      <c r="B41" s="1927" t="s">
        <v>3136</v>
      </c>
      <c r="C41" s="2608">
        <f>+'Phụ lục 7-HĐND'!AJ38</f>
        <v>0</v>
      </c>
    </row>
    <row r="42" spans="1:3" s="596" customFormat="1">
      <c r="A42" s="1926">
        <v>3</v>
      </c>
      <c r="B42" s="4968" t="s">
        <v>3206</v>
      </c>
      <c r="C42" s="2608">
        <f>+'Phụ lục 7-HĐND'!AJ39</f>
        <v>79778.735000000001</v>
      </c>
    </row>
    <row r="43" spans="1:3" s="596" customFormat="1" ht="18.600000000000001" thickBot="1">
      <c r="A43" s="4539" t="s">
        <v>215</v>
      </c>
      <c r="B43" s="5042" t="s">
        <v>1721</v>
      </c>
      <c r="C43" s="5043">
        <f>+'Phụ lục 7-HĐND'!AJ40</f>
        <v>203111</v>
      </c>
    </row>
    <row r="44" spans="1:3" s="596" customFormat="1" ht="18.600000000000001" thickTop="1">
      <c r="A44" s="2914"/>
      <c r="B44" s="2914" t="s">
        <v>809</v>
      </c>
      <c r="C44" s="2926"/>
    </row>
    <row r="46" spans="1:3">
      <c r="A46" s="6746" t="s">
        <v>1717</v>
      </c>
      <c r="B46" s="6746"/>
      <c r="C46" s="6746"/>
    </row>
    <row r="47" spans="1:3" ht="39.9" customHeight="1">
      <c r="A47" s="6761" t="str">
        <f>+'H. LAI VUNG'!A47:C47</f>
        <v xml:space="preserve">(1): Dự toán thu ngân sách nhà nước năm 2025 không bao gồm các khoản huy động nhân dân đóng góp, các khoản ghi thu, ghi chi vào ngân sách nhà nước theo chế độ quy định.
</v>
      </c>
      <c r="B47" s="6761"/>
      <c r="C47" s="6761"/>
    </row>
    <row r="48" spans="1:3" ht="105" customHeight="1">
      <c r="A48" s="6761"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283" t="str">
        <f>+'H. LAI VUNG'!A64:C64</f>
        <v>PHỤ LỤC II</v>
      </c>
      <c r="B64" s="6283"/>
      <c r="C64" s="6283"/>
    </row>
    <row r="65" spans="1:3">
      <c r="A65" s="6283" t="str">
        <f>+'H. LAI VUNG'!A65:C65</f>
        <v>NHIỆM VỤ CHI NGÂN SÁCH HUYỆN, THÀNH PHỐ NĂM 2025</v>
      </c>
      <c r="B65" s="6283"/>
      <c r="C65" s="6283"/>
    </row>
    <row r="66" spans="1:3">
      <c r="A66" s="6283" t="str">
        <f>A3</f>
        <v>THÀNH PHỐ SA ĐÉC</v>
      </c>
      <c r="B66" s="6283"/>
      <c r="C66" s="6283"/>
    </row>
    <row r="67" spans="1:3">
      <c r="A67" s="6500" t="str">
        <f>A4</f>
        <v>(Kèm theo Quyết định số        /QĐ-UBND-HC ngày      /12/2024 của Uỷ ban nhân dân tỉnh Đồng Tháp)</v>
      </c>
      <c r="B67" s="6500"/>
      <c r="C67" s="6500"/>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LAI VUNG'!B64</f>
        <v>Nội dung</v>
      </c>
      <c r="C70" s="4543" t="str">
        <f>C7</f>
        <v>Dự toán năm 2025</v>
      </c>
    </row>
    <row r="71" spans="1:3" s="386" customFormat="1" ht="17.399999999999999">
      <c r="A71" s="5049"/>
      <c r="B71" s="693" t="str">
        <f>'[2]H. LAI VUNG'!B65</f>
        <v>Tổng chi (I+II+III+IV)</v>
      </c>
      <c r="C71" s="5085">
        <f>C72+C76+C80+C81+C82</f>
        <v>946873.73499999999</v>
      </c>
    </row>
    <row r="72" spans="1:3" s="386" customFormat="1" ht="17.399999999999999">
      <c r="A72" s="5050" t="s">
        <v>3</v>
      </c>
      <c r="B72" s="2910" t="str">
        <f>'[2]H. LAI VUNG'!B66</f>
        <v>Chi đầu tư phát triển (1)</v>
      </c>
      <c r="C72" s="5086">
        <f>SUM(C74:C75)</f>
        <v>227000</v>
      </c>
    </row>
    <row r="73" spans="1:3">
      <c r="A73" s="5051"/>
      <c r="B73" s="2916" t="str">
        <f>'[2]H. LAI VUNG'!B67</f>
        <v>Bao gồm:</v>
      </c>
      <c r="C73" s="5087"/>
    </row>
    <row r="74" spans="1:3">
      <c r="A74" s="5052">
        <v>1</v>
      </c>
      <c r="B74" s="2917" t="str">
        <f>'[2]H. LAI VUNG'!B68</f>
        <v>Chi đầu tư xây dựng cơ bản</v>
      </c>
      <c r="C74" s="5087">
        <f>+'Phụ lục 8-HĐND'!N9</f>
        <v>83000</v>
      </c>
    </row>
    <row r="75" spans="1:3">
      <c r="A75" s="5052">
        <v>2</v>
      </c>
      <c r="B75" s="2917" t="str">
        <f>'[2]H. LAI VUNG'!B69</f>
        <v>Chi đầu tư từ nguồn thu tiền sử dụng đất</v>
      </c>
      <c r="C75" s="5087">
        <f>+'Phụ lục 8-HĐND'!N10</f>
        <v>144000</v>
      </c>
    </row>
    <row r="76" spans="1:3" s="386" customFormat="1" ht="17.399999999999999">
      <c r="A76" s="5050" t="s">
        <v>33</v>
      </c>
      <c r="B76" s="2910" t="str">
        <f>'[2]H. LAI VUNG'!B70</f>
        <v>Chi thường xuyên (2)</v>
      </c>
      <c r="C76" s="5086">
        <f>+'Phụ lục 8-HĐND'!N11</f>
        <v>650267.61575388303</v>
      </c>
    </row>
    <row r="77" spans="1:3">
      <c r="A77" s="5053"/>
      <c r="B77" s="2907" t="str">
        <f>'[2]H. LAI VUNG'!B71</f>
        <v>Bao gồm:</v>
      </c>
      <c r="C77" s="5087"/>
    </row>
    <row r="78" spans="1:3">
      <c r="A78" s="5052">
        <v>1</v>
      </c>
      <c r="B78" s="2909" t="str">
        <f>'[2]H. LAI VUNG'!B72</f>
        <v>Sự nghiệp giáo dục - đào tạo (3)</v>
      </c>
      <c r="C78" s="5087">
        <f>+'Phụ lục 8-HĐND'!N13</f>
        <v>283567.59999999998</v>
      </c>
    </row>
    <row r="79" spans="1:3">
      <c r="A79" s="5052">
        <v>2</v>
      </c>
      <c r="B79" s="2909" t="str">
        <f>'[2]H. LAI VUNG'!B73</f>
        <v>Các khoản chi thường xuyên còn lại</v>
      </c>
      <c r="C79" s="5087">
        <f>+'Phụ lục 8-HĐND'!N14</f>
        <v>366700.01575388305</v>
      </c>
    </row>
    <row r="80" spans="1:3" s="386" customFormat="1" ht="17.399999999999999">
      <c r="A80" s="5050" t="s">
        <v>182</v>
      </c>
      <c r="B80" s="2910" t="str">
        <f>'[2]H. LAI VUNG'!B74</f>
        <v>Dự phòng ngân sách</v>
      </c>
      <c r="C80" s="5086">
        <f>+'Phụ lục 8-HĐND'!N15</f>
        <v>17717</v>
      </c>
    </row>
    <row r="81" spans="1:3" s="386" customFormat="1" ht="17.399999999999999">
      <c r="A81" s="5050" t="s">
        <v>215</v>
      </c>
      <c r="B81" s="2910" t="str">
        <f>'[2]H. LAI VUNG'!B75</f>
        <v>Chi tạo nguồn cải cách tiền lương</v>
      </c>
      <c r="C81" s="5086">
        <f>+'Phụ lục 8-HĐND'!N16</f>
        <v>40825</v>
      </c>
    </row>
    <row r="82" spans="1:3" s="386" customFormat="1" ht="17.399999999999999">
      <c r="A82" s="5073" t="s">
        <v>718</v>
      </c>
      <c r="B82" s="701" t="str">
        <f>'[2]H. LAI VUNG'!B76</f>
        <v>Chi từ nguồn ngân sách cấp Tỉnh bổ sung có mục tiêu</v>
      </c>
      <c r="C82" s="5086">
        <f>SUM(C83:C87)</f>
        <v>11064.119246116901</v>
      </c>
    </row>
    <row r="83" spans="1:3">
      <c r="A83" s="5055" t="s">
        <v>29</v>
      </c>
      <c r="B83" s="704" t="str">
        <f>+'H. LAI VUNG'!B83</f>
        <v>Chi đầu tư xây dựng cơ bản</v>
      </c>
      <c r="C83" s="5087">
        <f>+'Phụ lục 8-HĐND'!N18</f>
        <v>0</v>
      </c>
    </row>
    <row r="84" spans="1:3">
      <c r="A84" s="5055" t="s">
        <v>29</v>
      </c>
      <c r="B84" s="704" t="str">
        <f>+'H. LAI VUNG'!B84</f>
        <v>Chi đầu tư từ nguồn xổ số kiến thiết</v>
      </c>
      <c r="C84" s="5087">
        <f>+'Phụ lục 8-HĐND'!N19</f>
        <v>0</v>
      </c>
    </row>
    <row r="85" spans="1:3">
      <c r="A85" s="5055" t="s">
        <v>29</v>
      </c>
      <c r="B85" s="704" t="str">
        <f>+'H. LAI VUNG'!B85</f>
        <v>Chi từ nguồn ngân sách trung ương bổ sung có mục tiêu (kinh phí biên chế giáo viên tăng thêm)</v>
      </c>
      <c r="C85" s="5087">
        <f>+'Phụ lục 8-HĐND'!N20</f>
        <v>605</v>
      </c>
    </row>
    <row r="86" spans="1:3">
      <c r="A86" s="5056" t="s">
        <v>29</v>
      </c>
      <c r="B86" s="704" t="str">
        <f>+'H. LAI VUNG'!B86</f>
        <v>Chi từ nguồn ngân sách trung ương bổ sung có mục tiêu (kinh phí hỗ trợ địa phương sản xuất lúa năm 2025)</v>
      </c>
      <c r="C86" s="5087">
        <f>+'Phụ lục 8-HĐND'!N21</f>
        <v>750</v>
      </c>
    </row>
    <row r="87" spans="1:3" ht="18.600000000000001" thickBot="1">
      <c r="A87" s="5057"/>
      <c r="B87" s="5058" t="str">
        <f>+'H. LAI VUNG'!B87</f>
        <v>Chi từ nguồn ngân sách trung ương bổ sung có mục tiêu (chính sách an sinh xã hội năm 2025)</v>
      </c>
      <c r="C87" s="5088">
        <f>+'Phụ lục 8-HĐND'!N22</f>
        <v>9709.1192461169012</v>
      </c>
    </row>
    <row r="88" spans="1:3" ht="18.600000000000001" thickTop="1"/>
    <row r="89" spans="1:3">
      <c r="A89" s="588" t="s">
        <v>1717</v>
      </c>
      <c r="B89" s="2903"/>
    </row>
    <row r="90" spans="1:3">
      <c r="A90" s="6763" t="s">
        <v>1828</v>
      </c>
      <c r="B90" s="6764"/>
      <c r="C90" s="6764"/>
    </row>
    <row r="91" spans="1:3" ht="60" customHeight="1">
      <c r="A91" s="6774"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71"/>
      <c r="C91" s="6771"/>
    </row>
    <row r="92" spans="1:3" ht="39.9" customHeight="1">
      <c r="A92" s="6771" t="str">
        <f>+'H. LAI VUNG'!A92:C92</f>
        <v>- Chưa bao gồm chi đầu tư từ nguồn vốn do ngân sách cấp tỉnh quản lý và phân bổ bổ sung có mục tiêu cho ngân sách huyện, thành phố</v>
      </c>
      <c r="B92" s="6771"/>
      <c r="C92" s="6771"/>
    </row>
    <row r="93" spans="1:3">
      <c r="A93" s="6766" t="s">
        <v>1829</v>
      </c>
      <c r="B93" s="6766"/>
      <c r="C93" s="6766"/>
    </row>
    <row r="94" spans="1:3" ht="60" customHeight="1">
      <c r="A94" s="6771"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71"/>
      <c r="C94" s="6771"/>
    </row>
    <row r="95" spans="1:3" ht="38.25" customHeight="1">
      <c r="A95" s="6772"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2"/>
      <c r="C95" s="6772"/>
    </row>
    <row r="96" spans="1:3" ht="20.100000000000001" customHeight="1">
      <c r="A96" s="381" t="str">
        <f>+'H. LAI VUNG'!A96</f>
        <v xml:space="preserve">- Bao gồm 10% tiết kiệm tăng thêm năm 2025 so với năm 2024 để thực hiện cải cách tiền lương năm 2025 là: </v>
      </c>
      <c r="C96" s="2912" t="s">
        <v>1830</v>
      </c>
    </row>
    <row r="97" spans="1:3" s="386" customFormat="1" ht="17.399999999999999">
      <c r="A97" s="2704" t="str">
        <f>'[2]H. LAI VUNG'!A91</f>
        <v>(3): Trong đó:</v>
      </c>
      <c r="B97" s="2704"/>
      <c r="C97" s="2704"/>
    </row>
    <row r="98" spans="1:3" s="2927" customFormat="1" ht="60" customHeight="1">
      <c r="A98" s="6771"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71"/>
      <c r="C98" s="6771"/>
    </row>
    <row r="121" spans="1:5">
      <c r="A121" s="6283" t="str">
        <f>+'H. LAI VUNG'!A121:C121</f>
        <v>PHỤ LỤC III</v>
      </c>
      <c r="B121" s="6283"/>
      <c r="C121" s="6283"/>
    </row>
    <row r="122" spans="1:5">
      <c r="A122" s="6283" t="str">
        <f>+'H. LAI VUNG'!A122:C122</f>
        <v>CHI TỪ NGUỒN NGÂN SÁCH CẤP TỈNH BỔ SUNG CÓ MỤC TIÊU NĂM 2025</v>
      </c>
      <c r="B122" s="6283"/>
      <c r="C122" s="6283"/>
    </row>
    <row r="123" spans="1:5">
      <c r="A123" s="6283" t="str">
        <f>A66</f>
        <v>THÀNH PHỐ SA ĐÉC</v>
      </c>
      <c r="B123" s="6283"/>
      <c r="C123" s="6283"/>
    </row>
    <row r="124" spans="1:5">
      <c r="A124" s="6498" t="str">
        <f>+A67</f>
        <v>(Kèm theo Quyết định số        /QĐ-UBND-HC ngày      /12/2024 của Uỷ ban nhân dân tỉnh Đồng Tháp)</v>
      </c>
      <c r="B124" s="6498"/>
      <c r="C124" s="6498"/>
    </row>
    <row r="126" spans="1:5" ht="18.600000000000001" thickBot="1">
      <c r="A126" s="2899"/>
      <c r="B126" s="2899"/>
      <c r="C126" s="2883" t="str">
        <f>C69</f>
        <v>Đơn vị tính: Triệu đồng</v>
      </c>
    </row>
    <row r="127" spans="1:5" ht="35.4" thickTop="1">
      <c r="A127" s="5014" t="s">
        <v>136</v>
      </c>
      <c r="B127" s="4862" t="s">
        <v>137</v>
      </c>
      <c r="C127" s="4861" t="s">
        <v>1455</v>
      </c>
    </row>
    <row r="128" spans="1:5">
      <c r="A128" s="5015"/>
      <c r="B128" s="682" t="s">
        <v>3196</v>
      </c>
      <c r="C128" s="5016">
        <f>SUM(C129:C140)</f>
        <v>79778.735000000001</v>
      </c>
      <c r="E128" s="667">
        <f>+C42-C128</f>
        <v>0</v>
      </c>
    </row>
    <row r="129" spans="1:3" ht="36">
      <c r="A129" s="593">
        <v>1</v>
      </c>
      <c r="B129" s="5022" t="s">
        <v>805</v>
      </c>
      <c r="C129" s="4538">
        <f>+'Phụ lục số 8.1'!CR14</f>
        <v>1448.55</v>
      </c>
    </row>
    <row r="130" spans="1:3">
      <c r="A130" s="593">
        <v>2</v>
      </c>
      <c r="B130" s="5022" t="str">
        <f>+'H. LAI VUNG'!B130</f>
        <v>Kinh phí hỗ trợ địa phương sản xuất lúa</v>
      </c>
      <c r="C130" s="4538">
        <f>+'Phụ lục số 8.1'!CR15</f>
        <v>3250</v>
      </c>
    </row>
    <row r="131" spans="1:3">
      <c r="A131" s="593">
        <v>3</v>
      </c>
      <c r="B131" s="5022" t="str">
        <f>+'H. LAI VUNG'!B131</f>
        <v>Kinh phí biên chế giáo viên tăng thêm</v>
      </c>
      <c r="C131" s="4538">
        <f>+'Phụ lục số 8.1'!CR18</f>
        <v>605</v>
      </c>
    </row>
    <row r="132" spans="1:3" ht="36">
      <c r="A132" s="593">
        <v>4</v>
      </c>
      <c r="B132" s="2525" t="s">
        <v>1608</v>
      </c>
      <c r="C132" s="4538">
        <f>+'Phụ lục số 8.3-CĐCS'!FM13+'Phụ lục số 8.3-CĐCS'!FM14</f>
        <v>80</v>
      </c>
    </row>
    <row r="133" spans="1:3">
      <c r="A133" s="593">
        <v>5</v>
      </c>
      <c r="B133" s="2525" t="s">
        <v>3197</v>
      </c>
      <c r="C133" s="5018">
        <v>0</v>
      </c>
    </row>
    <row r="134" spans="1:3" ht="36">
      <c r="A134" s="593">
        <v>6</v>
      </c>
      <c r="B134" s="2525" t="s">
        <v>3198</v>
      </c>
      <c r="C134" s="5018">
        <f>+'Phụ lục số 8.3-CĐCS'!FM15</f>
        <v>66</v>
      </c>
    </row>
    <row r="135" spans="1:3" ht="36">
      <c r="A135" s="593">
        <v>7</v>
      </c>
      <c r="B135" s="2525" t="s">
        <v>3199</v>
      </c>
      <c r="C135" s="5018">
        <f>+'Phụ lục số 8.3-CĐCS'!FM17+'Phụ lục số 8.3-CĐCS'!FM18</f>
        <v>17864</v>
      </c>
    </row>
    <row r="136" spans="1:3" ht="36">
      <c r="A136" s="593">
        <v>8</v>
      </c>
      <c r="B136" s="2525" t="s">
        <v>1093</v>
      </c>
      <c r="C136" s="4538">
        <v>0</v>
      </c>
    </row>
    <row r="137" spans="1:3" ht="36">
      <c r="A137" s="593">
        <v>9</v>
      </c>
      <c r="B137" s="5012" t="s">
        <v>3156</v>
      </c>
      <c r="C137" s="5018">
        <f>+'Phụ lục số 8.1'!CR20</f>
        <v>594.87</v>
      </c>
    </row>
    <row r="138" spans="1:3">
      <c r="A138" s="593">
        <v>10</v>
      </c>
      <c r="B138" s="5013" t="s">
        <v>1510</v>
      </c>
      <c r="C138" s="5018">
        <f>+'Phụ lục số 8.1'!CR22</f>
        <v>52520</v>
      </c>
    </row>
    <row r="139" spans="1:3">
      <c r="A139" s="593">
        <v>11</v>
      </c>
      <c r="B139" s="5013" t="str">
        <f>+'H. LAI VUNG'!B139</f>
        <v>Kinh phí thực hiện hỗ trợ đào tạo nghề trình độ sơ cấp và đào tạo dưới 03 tháng năm 2025</v>
      </c>
      <c r="C139" s="5018"/>
    </row>
    <row r="140" spans="1:3" ht="18.600000000000001" thickBot="1">
      <c r="A140" s="5019">
        <v>12</v>
      </c>
      <c r="B140" s="5020" t="str">
        <f>+'H. LAI VUNG'!B140</f>
        <v>Kinh phí tổ chức đại hội Đảng nhiệm kỳ 2025 - 2030</v>
      </c>
      <c r="C140" s="5021">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3" t="str">
        <f>+'TP. SA ĐÉC'!A1:C1</f>
        <v>PHỤ LỤC I</v>
      </c>
      <c r="B1" s="6283"/>
      <c r="C1" s="6283"/>
    </row>
    <row r="2" spans="1:3">
      <c r="A2" s="6283" t="str">
        <f>+'TP. SA ĐÉC'!A2:C2</f>
        <v>NHIỆM VỤ THU NGÂN SÁCH NHÀ NƯỚC NĂM 2025</v>
      </c>
      <c r="B2" s="6283"/>
      <c r="C2" s="6283"/>
    </row>
    <row r="3" spans="1:3">
      <c r="A3" s="6283" t="s">
        <v>1599</v>
      </c>
      <c r="B3" s="6283"/>
      <c r="C3" s="6283"/>
    </row>
    <row r="4" spans="1:3">
      <c r="A4" s="6500" t="str">
        <f>+'TP. SA ĐÉC'!A4:C4</f>
        <v>(Kèm theo Quyết định số        /QĐ-UBND-HC ngày      /12/2024 của Uỷ ban nhân dân tỉnh Đồng Tháp)</v>
      </c>
      <c r="B4" s="6500"/>
      <c r="C4" s="6500"/>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C10+C16+C19+C20+C21+C22+C26+C29+C32+C36</f>
        <v>237050</v>
      </c>
    </row>
    <row r="9" spans="1:3" s="873" customFormat="1">
      <c r="A9" s="5025"/>
      <c r="B9" s="697" t="s">
        <v>784</v>
      </c>
      <c r="C9" s="5078">
        <f>C8-C29</f>
        <v>137050</v>
      </c>
    </row>
    <row r="10" spans="1:3" s="588" customFormat="1" ht="17.399999999999999">
      <c r="A10" s="5027">
        <v>1</v>
      </c>
      <c r="B10" s="701" t="s">
        <v>1477</v>
      </c>
      <c r="C10" s="5086">
        <f>SUM(C11:C15)</f>
        <v>66000</v>
      </c>
    </row>
    <row r="11" spans="1:3">
      <c r="A11" s="5029" t="s">
        <v>29</v>
      </c>
      <c r="B11" s="704" t="s">
        <v>786</v>
      </c>
      <c r="C11" s="5087">
        <f>+'Phụ lục 7-HĐND'!AM10</f>
        <v>52010</v>
      </c>
    </row>
    <row r="12" spans="1:3">
      <c r="A12" s="5029" t="s">
        <v>29</v>
      </c>
      <c r="B12" s="704" t="s">
        <v>787</v>
      </c>
      <c r="C12" s="5087">
        <f>+'Phụ lục 7-HĐND'!AM11</f>
        <v>13700</v>
      </c>
    </row>
    <row r="13" spans="1:3">
      <c r="A13" s="5029" t="s">
        <v>29</v>
      </c>
      <c r="B13" s="704" t="s">
        <v>788</v>
      </c>
      <c r="C13" s="5087">
        <f>+'Phụ lục 7-HĐND'!AM12</f>
        <v>100</v>
      </c>
    </row>
    <row r="14" spans="1:3">
      <c r="A14" s="5029" t="s">
        <v>29</v>
      </c>
      <c r="B14" s="704" t="s">
        <v>10</v>
      </c>
      <c r="C14" s="5087">
        <f>+'Phụ lục 7-HĐND'!AM13</f>
        <v>190</v>
      </c>
    </row>
    <row r="15" spans="1:3">
      <c r="A15" s="5029" t="s">
        <v>29</v>
      </c>
      <c r="B15" s="704" t="s">
        <v>789</v>
      </c>
      <c r="C15" s="5087">
        <f>+'Phụ lục 7-HĐND'!AM14</f>
        <v>0</v>
      </c>
    </row>
    <row r="16" spans="1:3" s="2576" customFormat="1">
      <c r="A16" s="5027">
        <v>2</v>
      </c>
      <c r="B16" s="701" t="s">
        <v>20</v>
      </c>
      <c r="C16" s="5086">
        <f>SUM(C17:C18)</f>
        <v>22000</v>
      </c>
    </row>
    <row r="17" spans="1:3" hidden="1">
      <c r="A17" s="5031" t="s">
        <v>29</v>
      </c>
      <c r="B17" s="43" t="s">
        <v>790</v>
      </c>
      <c r="C17" s="5087">
        <f>+'Phụ lục 7-HĐND'!AM16</f>
        <v>0</v>
      </c>
    </row>
    <row r="18" spans="1:3" hidden="1">
      <c r="A18" s="5033" t="s">
        <v>29</v>
      </c>
      <c r="B18" s="711" t="s">
        <v>791</v>
      </c>
      <c r="C18" s="5087">
        <f>+'Phụ lục 7-HĐND'!AM17</f>
        <v>22000</v>
      </c>
    </row>
    <row r="19" spans="1:3" s="588" customFormat="1" ht="17.399999999999999">
      <c r="A19" s="5027">
        <v>3</v>
      </c>
      <c r="B19" s="701" t="s">
        <v>17</v>
      </c>
      <c r="C19" s="5086">
        <f>+'Phụ lục 7-HĐND'!AM18</f>
        <v>22000</v>
      </c>
    </row>
    <row r="20" spans="1:3" s="588" customFormat="1" ht="17.399999999999999">
      <c r="A20" s="5027">
        <v>4</v>
      </c>
      <c r="B20" s="701" t="s">
        <v>792</v>
      </c>
      <c r="C20" s="5086">
        <f>+'Phụ lục 7-HĐND'!AM19</f>
        <v>0</v>
      </c>
    </row>
    <row r="21" spans="1:3" s="588" customFormat="1" ht="17.399999999999999">
      <c r="A21" s="5027">
        <v>4</v>
      </c>
      <c r="B21" s="701" t="s">
        <v>97</v>
      </c>
      <c r="C21" s="5086">
        <f>+'Phụ lục 7-HĐND'!AM20</f>
        <v>1000</v>
      </c>
    </row>
    <row r="22" spans="1:3" s="588" customFormat="1" ht="17.399999999999999">
      <c r="A22" s="5027">
        <v>5</v>
      </c>
      <c r="B22" s="701" t="s">
        <v>793</v>
      </c>
      <c r="C22" s="5086">
        <f>SUM(C23:C25)</f>
        <v>7000</v>
      </c>
    </row>
    <row r="23" spans="1:3">
      <c r="A23" s="5034" t="s">
        <v>29</v>
      </c>
      <c r="B23" s="43" t="s">
        <v>794</v>
      </c>
      <c r="C23" s="5087">
        <f>+'Phụ lục 7-HĐND'!AM22</f>
        <v>2500</v>
      </c>
    </row>
    <row r="24" spans="1:3">
      <c r="A24" s="5034" t="s">
        <v>29</v>
      </c>
      <c r="B24" s="43" t="s">
        <v>795</v>
      </c>
      <c r="C24" s="5087">
        <f>+'Phụ lục 7-HĐND'!AM23</f>
        <v>250</v>
      </c>
    </row>
    <row r="25" spans="1:3">
      <c r="A25" s="5034" t="s">
        <v>29</v>
      </c>
      <c r="B25" s="43" t="s">
        <v>796</v>
      </c>
      <c r="C25" s="5087">
        <f>+'Phụ lục 7-HĐND'!AM24</f>
        <v>4250</v>
      </c>
    </row>
    <row r="26" spans="1:3" s="588" customFormat="1" ht="17.399999999999999">
      <c r="A26" s="5027">
        <v>6</v>
      </c>
      <c r="B26" s="701" t="s">
        <v>24</v>
      </c>
      <c r="C26" s="5086">
        <f>SUM(C27:C28)</f>
        <v>4000</v>
      </c>
    </row>
    <row r="27" spans="1:3">
      <c r="A27" s="5034" t="s">
        <v>29</v>
      </c>
      <c r="B27" s="43" t="s">
        <v>790</v>
      </c>
      <c r="C27" s="5087">
        <f>+'Phụ lục 7-HĐND'!AM26</f>
        <v>0</v>
      </c>
    </row>
    <row r="28" spans="1:3">
      <c r="A28" s="5035" t="s">
        <v>29</v>
      </c>
      <c r="B28" s="711" t="s">
        <v>1809</v>
      </c>
      <c r="C28" s="5087">
        <f>+'Phụ lục 7-HĐND'!AM27</f>
        <v>4000</v>
      </c>
    </row>
    <row r="29" spans="1:3" s="588" customFormat="1" ht="17.399999999999999">
      <c r="A29" s="5027">
        <v>7</v>
      </c>
      <c r="B29" s="701" t="s">
        <v>242</v>
      </c>
      <c r="C29" s="5086">
        <f>SUM(C30:C31)</f>
        <v>100000</v>
      </c>
    </row>
    <row r="30" spans="1:3">
      <c r="A30" s="5034" t="s">
        <v>29</v>
      </c>
      <c r="B30" s="43" t="s">
        <v>790</v>
      </c>
      <c r="C30" s="5087">
        <f>+'Phụ lục 7-HĐND'!AM29</f>
        <v>0</v>
      </c>
    </row>
    <row r="31" spans="1:3">
      <c r="A31" s="5035" t="s">
        <v>29</v>
      </c>
      <c r="B31" s="711" t="s">
        <v>1810</v>
      </c>
      <c r="C31" s="5087">
        <f>+'Phụ lục 7-HĐND'!AM30</f>
        <v>100000</v>
      </c>
    </row>
    <row r="32" spans="1:3" s="588" customFormat="1" ht="17.399999999999999">
      <c r="A32" s="5027">
        <v>8</v>
      </c>
      <c r="B32" s="701" t="s">
        <v>798</v>
      </c>
      <c r="C32" s="5086">
        <f>SUM(C33:C35)</f>
        <v>15000</v>
      </c>
    </row>
    <row r="33" spans="1:7">
      <c r="A33" s="5034" t="s">
        <v>29</v>
      </c>
      <c r="B33" s="43" t="s">
        <v>799</v>
      </c>
      <c r="C33" s="5087">
        <f>+'Phụ lục 7-HĐND'!AM32</f>
        <v>2000</v>
      </c>
    </row>
    <row r="34" spans="1:7">
      <c r="A34" s="5034" t="s">
        <v>29</v>
      </c>
      <c r="B34" s="43" t="s">
        <v>800</v>
      </c>
      <c r="C34" s="5087">
        <f>+'Phụ lục 7-HĐND'!AM33</f>
        <v>1000</v>
      </c>
    </row>
    <row r="35" spans="1:7">
      <c r="A35" s="5034" t="s">
        <v>29</v>
      </c>
      <c r="B35" s="43" t="s">
        <v>801</v>
      </c>
      <c r="C35" s="5087">
        <f>+'Phụ lục 7-HĐND'!AM34</f>
        <v>12000</v>
      </c>
    </row>
    <row r="36" spans="1:7" s="588" customFormat="1" ht="17.399999999999999">
      <c r="A36" s="5027">
        <v>9</v>
      </c>
      <c r="B36" s="5036" t="s">
        <v>1811</v>
      </c>
      <c r="C36" s="5086">
        <f>+'Phụ lục 7-HĐND'!AM35</f>
        <v>50</v>
      </c>
    </row>
    <row r="37" spans="1:7" s="386" customFormat="1" ht="17.399999999999999">
      <c r="A37" s="5027" t="s">
        <v>33</v>
      </c>
      <c r="B37" s="701" t="s">
        <v>1812</v>
      </c>
      <c r="C37" s="5083"/>
    </row>
    <row r="38" spans="1:7" s="386" customFormat="1">
      <c r="A38" s="5027"/>
      <c r="B38" s="704" t="s">
        <v>1813</v>
      </c>
      <c r="C38" s="5084">
        <f>100%</f>
        <v>1</v>
      </c>
    </row>
    <row r="39" spans="1:7" s="588" customFormat="1" ht="17.399999999999999">
      <c r="A39" s="4971" t="s">
        <v>182</v>
      </c>
      <c r="B39" s="4972" t="s">
        <v>802</v>
      </c>
      <c r="C39" s="5086">
        <f>SUM(C40:C42)</f>
        <v>628451.47200000007</v>
      </c>
    </row>
    <row r="40" spans="1:7">
      <c r="A40" s="1926">
        <v>1</v>
      </c>
      <c r="B40" s="4968" t="s">
        <v>803</v>
      </c>
      <c r="C40" s="5087">
        <f>+'Phụ lục 7-HĐND'!AM37</f>
        <v>379928</v>
      </c>
    </row>
    <row r="41" spans="1:7">
      <c r="A41" s="1926">
        <v>2</v>
      </c>
      <c r="B41" s="1927" t="s">
        <v>3136</v>
      </c>
      <c r="C41" s="5087">
        <f>+'Phụ lục 7-HĐND'!AM38</f>
        <v>166047</v>
      </c>
    </row>
    <row r="42" spans="1:7">
      <c r="A42" s="1926">
        <v>3</v>
      </c>
      <c r="B42" s="4968" t="s">
        <v>3206</v>
      </c>
      <c r="C42" s="5087">
        <f>+'Phụ lục 7-HĐND'!AM39</f>
        <v>82476.472000000009</v>
      </c>
    </row>
    <row r="43" spans="1:7" s="2802" customFormat="1" thickBot="1">
      <c r="A43" s="4539" t="s">
        <v>215</v>
      </c>
      <c r="B43" s="5042" t="s">
        <v>1721</v>
      </c>
      <c r="C43" s="5089">
        <f>+'Phụ lục 7-HĐND'!AM40</f>
        <v>22457</v>
      </c>
    </row>
    <row r="44" spans="1:7" ht="18.600000000000001" hidden="1" thickTop="1">
      <c r="A44" s="2928"/>
      <c r="B44" s="2928" t="s">
        <v>809</v>
      </c>
      <c r="C44" s="2915"/>
    </row>
    <row r="45" spans="1:7" ht="18.600000000000001" thickTop="1"/>
    <row r="46" spans="1:7">
      <c r="A46" s="6746" t="s">
        <v>1717</v>
      </c>
      <c r="B46" s="6746"/>
      <c r="C46" s="6746"/>
      <c r="G46" s="381" t="s">
        <v>117</v>
      </c>
    </row>
    <row r="47" spans="1:7" ht="39.9" customHeight="1">
      <c r="A47" s="6761" t="str">
        <f>+'TP. SA ĐÉC'!A47:C47</f>
        <v xml:space="preserve">(1): Dự toán thu ngân sách nhà nước năm 2025 không bao gồm các khoản huy động nhân dân đóng góp, các khoản ghi thu, ghi chi vào ngân sách nhà nước theo chế độ quy định.
</v>
      </c>
      <c r="B47" s="6761"/>
      <c r="C47" s="6761"/>
    </row>
    <row r="48" spans="1:7" ht="105" customHeight="1">
      <c r="A48" s="6761"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61"/>
      <c r="C48" s="6761"/>
    </row>
    <row r="49" spans="1:3">
      <c r="A49" s="6780" t="str">
        <f>+'TP. SA ĐÉC'!A49</f>
        <v>(4): Các khoản thu phân chia theo tỷ lệ (%) giữa ngân sách cấp Tỉnh và ngân sách cấp huyện</v>
      </c>
      <c r="B49" s="6780"/>
      <c r="C49" s="6780"/>
    </row>
    <row r="50" spans="1:3">
      <c r="A50" s="6780" t="str">
        <f>+'TP. SA ĐÉC'!A50</f>
        <v>(5): Chi tiết thu bổ sung có mục tiêu theo Phụ lục số III</v>
      </c>
      <c r="B50" s="6780"/>
      <c r="C50" s="6780"/>
    </row>
    <row r="51" spans="1:3">
      <c r="A51" s="2922"/>
      <c r="B51" s="2922"/>
      <c r="C51" s="2922"/>
    </row>
    <row r="62" spans="1:3">
      <c r="A62" s="6283" t="str">
        <f>+'TP. SA ĐÉC'!A64:C64</f>
        <v>PHỤ LỤC II</v>
      </c>
      <c r="B62" s="6283"/>
      <c r="C62" s="6283"/>
    </row>
    <row r="63" spans="1:3">
      <c r="A63" s="6283" t="str">
        <f>+'TP. SA ĐÉC'!A65:C65</f>
        <v>NHIỆM VỤ CHI NGÂN SÁCH HUYỆN, THÀNH PHỐ NĂM 2025</v>
      </c>
      <c r="B63" s="6283"/>
      <c r="C63" s="6283"/>
    </row>
    <row r="64" spans="1:3">
      <c r="A64" s="6283" t="str">
        <f>A3</f>
        <v>HUYỆN CHÂU THÀNH</v>
      </c>
      <c r="B64" s="6283"/>
      <c r="C64" s="6283"/>
    </row>
    <row r="65" spans="1:3">
      <c r="A65" s="6500" t="str">
        <f>A4</f>
        <v>(Kèm theo Quyết định số        /QĐ-UBND-HC ngày      /12/2024 của Uỷ ban nhân dân tỉnh Đồng Tháp)</v>
      </c>
      <c r="B65" s="6500"/>
      <c r="C65" s="6500"/>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50" t="str">
        <f>'[2]TP. SA ĐÉC'!B64</f>
        <v>Nội dung</v>
      </c>
      <c r="C68" s="4543" t="str">
        <f>C7</f>
        <v>Dự toán năm 2025</v>
      </c>
    </row>
    <row r="69" spans="1:3" s="588" customFormat="1" ht="17.399999999999999">
      <c r="A69" s="5049"/>
      <c r="B69" s="693" t="str">
        <f>'[2]TP. SA ĐÉC'!B65</f>
        <v>Tổng chi (I+II+III+IV)</v>
      </c>
      <c r="C69" s="5024">
        <f>C70+C74+C78+C79+C80</f>
        <v>871518.47200000007</v>
      </c>
    </row>
    <row r="70" spans="1:3" s="588" customFormat="1" ht="17.399999999999999">
      <c r="A70" s="5050" t="s">
        <v>3</v>
      </c>
      <c r="B70" s="2910" t="str">
        <f>'[2]TP. SA ĐÉC'!B66</f>
        <v>Chi đầu tư phát triển (1)</v>
      </c>
      <c r="C70" s="5086">
        <f>C72+C73</f>
        <v>123000</v>
      </c>
    </row>
    <row r="71" spans="1:3">
      <c r="A71" s="5051"/>
      <c r="B71" s="2916" t="str">
        <f>'[2]TP. SA ĐÉC'!B67</f>
        <v>Bao gồm:</v>
      </c>
      <c r="C71" s="5087"/>
    </row>
    <row r="72" spans="1:3">
      <c r="A72" s="5052">
        <v>1</v>
      </c>
      <c r="B72" s="2917" t="str">
        <f>'[2]TP. SA ĐÉC'!B68</f>
        <v>Chi đầu tư xây dựng cơ bản</v>
      </c>
      <c r="C72" s="5087">
        <f>+'Phụ lục 8-HĐND'!O9</f>
        <v>33000</v>
      </c>
    </row>
    <row r="73" spans="1:3">
      <c r="A73" s="5052">
        <v>2</v>
      </c>
      <c r="B73" s="2917" t="str">
        <f>'[2]TP. SA ĐÉC'!B69</f>
        <v>Chi đầu tư từ nguồn thu tiền sử dụng đất</v>
      </c>
      <c r="C73" s="5087">
        <f>+'Phụ lục 8-HĐND'!O10</f>
        <v>90000</v>
      </c>
    </row>
    <row r="74" spans="1:3" s="588" customFormat="1" ht="17.399999999999999">
      <c r="A74" s="5050" t="s">
        <v>33</v>
      </c>
      <c r="B74" s="2910" t="str">
        <f>'[2]TP. SA ĐÉC'!B70</f>
        <v>Chi thường xuyên (2)</v>
      </c>
      <c r="C74" s="5086">
        <f>+'Phụ lục 8-HĐND'!O11</f>
        <v>712225.96687896887</v>
      </c>
    </row>
    <row r="75" spans="1:3">
      <c r="A75" s="5053"/>
      <c r="B75" s="2907" t="str">
        <f>'[2]TP. SA ĐÉC'!B71</f>
        <v>Bao gồm:</v>
      </c>
      <c r="C75" s="5087"/>
    </row>
    <row r="76" spans="1:3">
      <c r="A76" s="5052">
        <v>1</v>
      </c>
      <c r="B76" s="2909" t="str">
        <f>'[2]TP. SA ĐÉC'!B72</f>
        <v>Sự nghiệp giáo dục - đào tạo (3)</v>
      </c>
      <c r="C76" s="5087">
        <f>+'Phụ lục 8-HĐND'!O13</f>
        <v>359883.4</v>
      </c>
    </row>
    <row r="77" spans="1:3">
      <c r="A77" s="5052">
        <v>2</v>
      </c>
      <c r="B77" s="2909" t="str">
        <f>'[2]TP. SA ĐÉC'!B73</f>
        <v>Các khoản chi thường xuyên còn lại</v>
      </c>
      <c r="C77" s="5087">
        <f>+'Phụ lục 8-HĐND'!O14</f>
        <v>352342.56687896885</v>
      </c>
    </row>
    <row r="78" spans="1:3" s="588" customFormat="1" ht="17.399999999999999">
      <c r="A78" s="5050" t="s">
        <v>182</v>
      </c>
      <c r="B78" s="2910" t="str">
        <f>'[2]TP. SA ĐÉC'!B74</f>
        <v>Dự phòng ngân sách</v>
      </c>
      <c r="C78" s="5086">
        <f>+'Phụ lục 8-HĐND'!O15</f>
        <v>16303.4</v>
      </c>
    </row>
    <row r="79" spans="1:3" s="588" customFormat="1" ht="17.399999999999999">
      <c r="A79" s="5050" t="s">
        <v>215</v>
      </c>
      <c r="B79" s="2910" t="str">
        <f>'[2]TP. SA ĐÉC'!B75</f>
        <v>Chi tạo nguồn cải cách tiền lương</v>
      </c>
      <c r="C79" s="5086">
        <f>+'Phụ lục 8-HĐND'!O16</f>
        <v>0</v>
      </c>
    </row>
    <row r="80" spans="1:3" s="386" customFormat="1" ht="17.399999999999999">
      <c r="A80" s="5073" t="s">
        <v>718</v>
      </c>
      <c r="B80" s="701" t="str">
        <f>'[2]TP. SA ĐÉC'!B76</f>
        <v>Chi từ nguồn ngân sách cấp Tỉnh bổ sung có mục tiêu</v>
      </c>
      <c r="C80" s="5083">
        <f>SUM(C81:C85)</f>
        <v>19989.1051210312</v>
      </c>
    </row>
    <row r="81" spans="1:3">
      <c r="A81" s="5055" t="s">
        <v>29</v>
      </c>
      <c r="B81" s="704" t="str">
        <f>+'TP. SA ĐÉC'!B83</f>
        <v>Chi đầu tư xây dựng cơ bản</v>
      </c>
      <c r="C81" s="5892">
        <f>+'Phụ lục 8-HĐND'!O18</f>
        <v>0</v>
      </c>
    </row>
    <row r="82" spans="1:3">
      <c r="A82" s="5055" t="s">
        <v>29</v>
      </c>
      <c r="B82" s="704" t="str">
        <f>+'TP. SA ĐÉC'!B84</f>
        <v>Chi đầu tư từ nguồn xổ số kiến thiết</v>
      </c>
      <c r="C82" s="5892">
        <f>+'Phụ lục 8-HĐND'!O19</f>
        <v>0</v>
      </c>
    </row>
    <row r="83" spans="1:3">
      <c r="A83" s="5055" t="s">
        <v>29</v>
      </c>
      <c r="B83" s="2901" t="str">
        <f>+'TP. SA ĐÉC'!B85</f>
        <v>Chi từ nguồn ngân sách trung ương bổ sung có mục tiêu (kinh phí biên chế giáo viên tăng thêm)</v>
      </c>
      <c r="C83" s="5892">
        <f>+'Phụ lục 8-HĐND'!O20</f>
        <v>859</v>
      </c>
    </row>
    <row r="84" spans="1:3">
      <c r="A84" s="5056" t="s">
        <v>29</v>
      </c>
      <c r="B84" s="2901" t="str">
        <f>+'TP. SA ĐÉC'!B86</f>
        <v>Chi từ nguồn ngân sách trung ương bổ sung có mục tiêu (kinh phí hỗ trợ địa phương sản xuất lúa năm 2025)</v>
      </c>
      <c r="C84" s="5892">
        <f>+'Phụ lục 8-HĐND'!O21</f>
        <v>5250</v>
      </c>
    </row>
    <row r="85" spans="1:3" ht="18.600000000000001" thickBot="1">
      <c r="A85" s="5057"/>
      <c r="B85" s="5891" t="str">
        <f>+'TP. SA ĐÉC'!B87</f>
        <v>Chi từ nguồn ngân sách trung ương bổ sung có mục tiêu (chính sách an sinh xã hội năm 2025)</v>
      </c>
      <c r="C85" s="5893">
        <f>+'Phụ lục 8-HĐND'!O22</f>
        <v>13880.105121031198</v>
      </c>
    </row>
    <row r="86" spans="1:3" ht="18.600000000000001" thickTop="1"/>
    <row r="87" spans="1:3">
      <c r="A87" s="588" t="s">
        <v>1717</v>
      </c>
      <c r="B87" s="2903"/>
    </row>
    <row r="88" spans="1:3">
      <c r="A88" s="6763" t="s">
        <v>1828</v>
      </c>
      <c r="B88" s="6764"/>
      <c r="C88" s="6764"/>
    </row>
    <row r="89" spans="1:3" ht="60" customHeight="1">
      <c r="A89" s="6774"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771"/>
      <c r="C89" s="6771"/>
    </row>
    <row r="90" spans="1:3" ht="39.9" customHeight="1">
      <c r="A90" s="6771" t="str">
        <f>+'TP. SA ĐÉC'!A92:C92</f>
        <v>- Chưa bao gồm chi đầu tư từ nguồn vốn do ngân sách cấp tỉnh quản lý và phân bổ bổ sung có mục tiêu cho ngân sách huyện, thành phố</v>
      </c>
      <c r="B90" s="6771"/>
      <c r="C90" s="6771"/>
    </row>
    <row r="91" spans="1:3">
      <c r="A91" s="6766" t="s">
        <v>1829</v>
      </c>
      <c r="B91" s="6766"/>
      <c r="C91" s="6766"/>
    </row>
    <row r="92" spans="1:3" ht="60" customHeight="1">
      <c r="A92" s="6771"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771"/>
      <c r="C92" s="6771"/>
    </row>
    <row r="93" spans="1:3" ht="39.9" customHeight="1">
      <c r="A93" s="6772"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772"/>
      <c r="C93" s="6772"/>
    </row>
    <row r="94" spans="1:3">
      <c r="A94" s="381" t="str">
        <f>+'TP. SA ĐÉC'!A96</f>
        <v xml:space="preserve">- Bao gồm 10% tiết kiệm tăng thêm năm 2025 so với năm 2024 để thực hiện cải cách tiền lương năm 2025 là: </v>
      </c>
      <c r="C94" s="2912" t="s">
        <v>1830</v>
      </c>
    </row>
    <row r="95" spans="1:3" s="2704" customFormat="1" ht="17.399999999999999">
      <c r="A95" s="2704" t="str">
        <f>'[2]TP. SA ĐÉC'!A91</f>
        <v>(3): Trong đó:</v>
      </c>
    </row>
    <row r="96" spans="1:3" s="2705" customFormat="1" ht="60" customHeight="1">
      <c r="A96" s="6771"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771"/>
      <c r="C96" s="6771"/>
    </row>
    <row r="121" spans="1:5">
      <c r="A121" s="6283" t="str">
        <f>+'TP. SA ĐÉC'!A121:C121</f>
        <v>PHỤ LỤC III</v>
      </c>
      <c r="B121" s="6283"/>
      <c r="C121" s="6283"/>
    </row>
    <row r="122" spans="1:5">
      <c r="A122" s="6283" t="str">
        <f>+'TP. SA ĐÉC'!A122:C122</f>
        <v>CHI TỪ NGUỒN NGÂN SÁCH CẤP TỈNH BỔ SUNG CÓ MỤC TIÊU NĂM 2025</v>
      </c>
      <c r="B122" s="6283"/>
      <c r="C122" s="6283"/>
    </row>
    <row r="123" spans="1:5">
      <c r="A123" s="6283" t="str">
        <f>A64</f>
        <v>HUYỆN CHÂU THÀNH</v>
      </c>
      <c r="B123" s="6283"/>
      <c r="C123" s="6283"/>
    </row>
    <row r="124" spans="1:5">
      <c r="A124" s="6498" t="str">
        <f>+A65</f>
        <v>(Kèm theo Quyết định số        /QĐ-UBND-HC ngày      /12/2024 của Uỷ ban nhân dân tỉnh Đồng Tháp)</v>
      </c>
      <c r="B124" s="6498"/>
      <c r="C124" s="6498"/>
    </row>
    <row r="126" spans="1:5" ht="18.600000000000001" thickBot="1">
      <c r="A126" s="2899"/>
      <c r="B126" s="2899"/>
      <c r="C126" s="2883" t="str">
        <f>C67</f>
        <v>Đơn vị tính: Triệu đồng</v>
      </c>
    </row>
    <row r="127" spans="1:5" ht="35.4" thickTop="1">
      <c r="A127" s="5014" t="s">
        <v>136</v>
      </c>
      <c r="B127" s="4862" t="s">
        <v>137</v>
      </c>
      <c r="C127" s="4861" t="s">
        <v>1455</v>
      </c>
    </row>
    <row r="128" spans="1:5">
      <c r="A128" s="5015"/>
      <c r="B128" s="682" t="s">
        <v>3196</v>
      </c>
      <c r="C128" s="5016">
        <f>SUM(C129:C140)</f>
        <v>82476.471999999994</v>
      </c>
      <c r="E128" s="667">
        <f>+C42-C128</f>
        <v>0</v>
      </c>
    </row>
    <row r="129" spans="1:3" ht="36">
      <c r="A129" s="593">
        <v>1</v>
      </c>
      <c r="B129" s="5022" t="s">
        <v>805</v>
      </c>
      <c r="C129" s="4538">
        <f>+'Phụ lục số 8.1'!CZ14</f>
        <v>12728.220000000001</v>
      </c>
    </row>
    <row r="130" spans="1:3">
      <c r="A130" s="593">
        <v>2</v>
      </c>
      <c r="B130" s="5022" t="str">
        <f>+'TP. SA ĐÉC'!B130</f>
        <v>Kinh phí hỗ trợ địa phương sản xuất lúa</v>
      </c>
      <c r="C130" s="4538">
        <f>+'Phụ lục số 8.1'!CZ15</f>
        <v>16750</v>
      </c>
    </row>
    <row r="131" spans="1:3">
      <c r="A131" s="593">
        <v>3</v>
      </c>
      <c r="B131" s="5022" t="str">
        <f>+'TP. SA ĐÉC'!B131</f>
        <v>Kinh phí biên chế giáo viên tăng thêm</v>
      </c>
      <c r="C131" s="4538">
        <f>+'Phụ lục số 8.1'!CZ18</f>
        <v>859</v>
      </c>
    </row>
    <row r="132" spans="1:3" ht="36">
      <c r="A132" s="593">
        <v>4</v>
      </c>
      <c r="B132" s="2525" t="s">
        <v>1608</v>
      </c>
      <c r="C132" s="5017">
        <v>0</v>
      </c>
    </row>
    <row r="133" spans="1:3">
      <c r="A133" s="593">
        <v>5</v>
      </c>
      <c r="B133" s="2525" t="s">
        <v>3197</v>
      </c>
      <c r="C133" s="5018">
        <v>0</v>
      </c>
    </row>
    <row r="134" spans="1:3" ht="36">
      <c r="A134" s="593">
        <v>6</v>
      </c>
      <c r="B134" s="2525" t="s">
        <v>3198</v>
      </c>
      <c r="C134" s="5018">
        <f>+'Phụ lục số 8.3-CĐCS'!GA15</f>
        <v>91</v>
      </c>
    </row>
    <row r="135" spans="1:3" ht="36">
      <c r="A135" s="593">
        <v>7</v>
      </c>
      <c r="B135" s="2525" t="s">
        <v>3199</v>
      </c>
      <c r="C135" s="5018">
        <f>+'Phụ lục số 8.3-CĐCS'!GA17+'Phụ lục số 8.3-CĐCS'!GA13+'Phụ lục số 8.3-CĐCS'!GA14</f>
        <v>25596</v>
      </c>
    </row>
    <row r="136" spans="1:3" ht="36">
      <c r="A136" s="593">
        <v>8</v>
      </c>
      <c r="B136" s="2525" t="s">
        <v>1093</v>
      </c>
      <c r="C136" s="4538">
        <f>+'Phụ lục số 8.3-CĐCS'!GA18</f>
        <v>60</v>
      </c>
    </row>
    <row r="137" spans="1:3" ht="36">
      <c r="A137" s="593">
        <v>9</v>
      </c>
      <c r="B137" s="5012" t="s">
        <v>3156</v>
      </c>
      <c r="C137" s="5018">
        <f>+'Phụ lục số 8.1'!CZ20</f>
        <v>948.78</v>
      </c>
    </row>
    <row r="138" spans="1:3">
      <c r="A138" s="593">
        <v>10</v>
      </c>
      <c r="B138" s="5013" t="s">
        <v>1510</v>
      </c>
      <c r="C138" s="5018">
        <f>+'Phụ lục số 8.1'!CZ22</f>
        <v>22450</v>
      </c>
    </row>
    <row r="139" spans="1:3">
      <c r="A139" s="593">
        <v>11</v>
      </c>
      <c r="B139" s="5013" t="str">
        <f>+'TP. SA ĐÉC'!B139</f>
        <v>Kinh phí thực hiện hỗ trợ đào tạo nghề trình độ sơ cấp và đào tạo dưới 03 tháng năm 2025</v>
      </c>
      <c r="C139" s="5018"/>
    </row>
    <row r="140" spans="1:3" ht="18.600000000000001" thickBot="1">
      <c r="A140" s="5019">
        <v>12</v>
      </c>
      <c r="B140" s="5020" t="str">
        <f>+'TP. SA ĐÉC'!B140</f>
        <v>Kinh phí tổ chức đại hội Đảng nhiệm kỳ 2025 - 2030</v>
      </c>
      <c r="C140" s="5021">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284" t="s">
        <v>3186</v>
      </c>
      <c r="B4" s="6283"/>
      <c r="C4" s="6283"/>
    </row>
    <row r="5" spans="1:3">
      <c r="A5" s="6043" t="s">
        <v>3227</v>
      </c>
      <c r="B5" s="6043"/>
      <c r="C5" s="6043"/>
    </row>
    <row r="6" spans="1:3">
      <c r="A6" s="583"/>
      <c r="B6" s="583"/>
      <c r="C6" s="583"/>
    </row>
    <row r="7" spans="1:3" ht="18.600000000000001" thickBot="1">
      <c r="A7" s="583"/>
      <c r="B7" s="6577" t="s">
        <v>638</v>
      </c>
      <c r="C7" s="6577"/>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3239</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39"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40" t="str">
        <f>+'Phụ lục số 2'!B17</f>
        <v xml:space="preserve">Chi đầu tư phát triển khác </v>
      </c>
      <c r="C35" s="2626">
        <f>+C36+C37</f>
        <v>0</v>
      </c>
    </row>
    <row r="36" spans="1:3" s="873" customFormat="1" ht="36" hidden="1">
      <c r="A36" s="614" t="s">
        <v>3126</v>
      </c>
      <c r="B36" s="4939"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38"/>
      <c r="C38" s="2626"/>
    </row>
    <row r="39" spans="1:3" s="873" customFormat="1" hidden="1">
      <c r="A39" s="614"/>
      <c r="B39" s="4938"/>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36" t="s">
        <v>178</v>
      </c>
      <c r="C50" s="1656">
        <f>SUM(C51:C52)</f>
        <v>2530494</v>
      </c>
    </row>
    <row r="51" spans="1:3" s="386" customFormat="1">
      <c r="A51" s="5106" t="s">
        <v>99</v>
      </c>
      <c r="B51" s="4937" t="s">
        <v>100</v>
      </c>
      <c r="C51" s="1656">
        <f>+'Phụ lục 1-HĐND'!C51</f>
        <v>2399255</v>
      </c>
    </row>
    <row r="52" spans="1:3" s="386" customFormat="1">
      <c r="A52" s="5106" t="s">
        <v>101</v>
      </c>
      <c r="B52" s="4937" t="s">
        <v>102</v>
      </c>
      <c r="C52" s="1656">
        <f>+'Phụ lục 1-HĐND'!C52</f>
        <v>131239</v>
      </c>
    </row>
    <row r="53" spans="1:3" s="386" customFormat="1">
      <c r="A53" s="2747">
        <v>2</v>
      </c>
      <c r="B53" s="4936" t="s">
        <v>179</v>
      </c>
      <c r="C53" s="1656">
        <f>SUM(C54:C55)</f>
        <v>221912</v>
      </c>
    </row>
    <row r="54" spans="1:3" s="386" customFormat="1">
      <c r="A54" s="5106" t="s">
        <v>99</v>
      </c>
      <c r="B54" s="4937" t="s">
        <v>103</v>
      </c>
      <c r="C54" s="1656">
        <f>+'Phụ lục 1-HĐND'!C54</f>
        <v>186007</v>
      </c>
    </row>
    <row r="55" spans="1:3" s="386" customFormat="1">
      <c r="A55" s="5106" t="s">
        <v>101</v>
      </c>
      <c r="B55" s="4937" t="s">
        <v>102</v>
      </c>
      <c r="C55" s="1656">
        <f>+'Phụ lục 1-HĐND'!C55</f>
        <v>35905</v>
      </c>
    </row>
    <row r="56" spans="1:3" s="386" customFormat="1">
      <c r="A56" s="2747">
        <v>3</v>
      </c>
      <c r="B56" s="4936" t="s">
        <v>180</v>
      </c>
      <c r="C56" s="1656">
        <f>SUM(C57:C58)</f>
        <v>284586</v>
      </c>
    </row>
    <row r="57" spans="1:3" s="386" customFormat="1">
      <c r="A57" s="5106" t="s">
        <v>99</v>
      </c>
      <c r="B57" s="4937" t="s">
        <v>104</v>
      </c>
      <c r="C57" s="1656">
        <f>+'Phụ lục 1-HĐND'!C58</f>
        <v>284586</v>
      </c>
    </row>
    <row r="58" spans="1:3" s="386" customFormat="1">
      <c r="A58" s="5106" t="s">
        <v>101</v>
      </c>
      <c r="B58" s="4937" t="s">
        <v>105</v>
      </c>
      <c r="C58" s="1656">
        <f>+'Phụ lục 1-HĐND'!C59</f>
        <v>0</v>
      </c>
    </row>
    <row r="59" spans="1:3" s="386" customFormat="1" ht="17.399999999999999">
      <c r="A59" s="611" t="s">
        <v>182</v>
      </c>
      <c r="B59" s="1933" t="s">
        <v>181</v>
      </c>
      <c r="C59" s="1657">
        <f>+'Phụ lục 1-HĐND'!C59</f>
        <v>0</v>
      </c>
    </row>
    <row r="60" spans="1:3" s="386" customFormat="1" ht="17.399999999999999">
      <c r="A60" s="5241" t="s">
        <v>46</v>
      </c>
      <c r="B60" s="5242" t="s">
        <v>3233</v>
      </c>
      <c r="C60" s="5255">
        <f>+'Phụ lục số 2'!M51</f>
        <v>5553.7960000000003</v>
      </c>
    </row>
    <row r="61" spans="1:3" s="386" customFormat="1" ht="17.399999999999999">
      <c r="A61" s="611" t="s">
        <v>725</v>
      </c>
      <c r="B61" s="1933" t="s">
        <v>347</v>
      </c>
      <c r="C61" s="1657">
        <f>+'Phụ lục 1-HĐND'!C61</f>
        <v>186700</v>
      </c>
    </row>
    <row r="62" spans="1:3">
      <c r="A62" s="5448"/>
      <c r="B62" s="5449" t="s">
        <v>3219</v>
      </c>
      <c r="C62" s="5078"/>
    </row>
    <row r="63" spans="1:3">
      <c r="A63" s="5448"/>
      <c r="B63" s="5450" t="s">
        <v>3221</v>
      </c>
      <c r="C63" s="5451">
        <f>+'Phụ lục 1-HĐND'!C63</f>
        <v>20800</v>
      </c>
    </row>
    <row r="64" spans="1:3" ht="18.600000000000001" thickBot="1">
      <c r="A64" s="5452"/>
      <c r="B64" s="5453" t="s">
        <v>3222</v>
      </c>
      <c r="C64" s="5454">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785" t="s">
        <v>3190</v>
      </c>
      <c r="B4" s="6785"/>
      <c r="C4" s="6785"/>
    </row>
    <row r="5" spans="1:3" s="2663" customFormat="1">
      <c r="A5" s="6501" t="str">
        <f>+'Phụ lục 1-KQPB'!A5:C5</f>
        <v>(Kèm theo Báo cáo số            /BC-UBND ngày      /12/2024 của Ủy ban nhân dân tỉnh Đồng Tháp)</v>
      </c>
      <c r="B5" s="6501"/>
      <c r="C5" s="6501"/>
    </row>
    <row r="6" spans="1:3" s="2663" customFormat="1">
      <c r="A6" s="2666"/>
      <c r="B6" s="2666"/>
      <c r="C6" s="2666"/>
    </row>
    <row r="7" spans="1:3" s="2663" customFormat="1" thickBot="1">
      <c r="A7" s="2667"/>
      <c r="B7" s="6786" t="s">
        <v>638</v>
      </c>
      <c r="C7" s="6786"/>
    </row>
    <row r="8" spans="1:3" s="2668" customFormat="1" thickTop="1">
      <c r="A8" s="6563" t="s">
        <v>1660</v>
      </c>
      <c r="B8" s="6787" t="s">
        <v>201</v>
      </c>
      <c r="C8" s="6789" t="s">
        <v>1455</v>
      </c>
    </row>
    <row r="9" spans="1:3" s="2668" customFormat="1" ht="17.399999999999999">
      <c r="A9" s="6564"/>
      <c r="B9" s="6788"/>
      <c r="C9" s="6790"/>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1698</v>
      </c>
      <c r="C12" s="2678">
        <f>+'Phụ lục 2-HĐND'!C12</f>
        <v>255000</v>
      </c>
    </row>
    <row r="13" spans="1:3" s="2679" customFormat="1">
      <c r="A13" s="2676">
        <v>2</v>
      </c>
      <c r="B13" s="2677" t="s">
        <v>1699</v>
      </c>
      <c r="C13" s="2678">
        <f>+'Phụ lục 2-HĐND'!C13</f>
        <v>360000</v>
      </c>
    </row>
    <row r="14" spans="1:3" s="2679" customFormat="1">
      <c r="A14" s="2676">
        <v>3</v>
      </c>
      <c r="B14" s="2677" t="s">
        <v>1700</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1701</v>
      </c>
      <c r="C19" s="2678">
        <f>+'Phụ lục 2-HĐND'!C19</f>
        <v>1720000</v>
      </c>
    </row>
    <row r="20" spans="1:3" s="2679" customFormat="1">
      <c r="A20" s="2676">
        <v>9</v>
      </c>
      <c r="B20" s="2677" t="s">
        <v>1702</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1703</v>
      </c>
      <c r="C24" s="2678">
        <f>+'Phụ lục 2-HĐND'!C24</f>
        <v>2000</v>
      </c>
    </row>
    <row r="25" spans="1:3" s="2679" customFormat="1">
      <c r="A25" s="2676">
        <v>14</v>
      </c>
      <c r="B25" s="44" t="s">
        <v>1704</v>
      </c>
      <c r="C25" s="2678">
        <f>+'Phụ lục 2-HĐND'!C25</f>
        <v>2100000</v>
      </c>
    </row>
    <row r="26" spans="1:3" s="2679" customFormat="1">
      <c r="A26" s="2676">
        <v>15</v>
      </c>
      <c r="B26" s="44" t="s">
        <v>1705</v>
      </c>
      <c r="C26" s="2678">
        <f>+'Phụ lục 2-HĐND'!C26</f>
        <v>32000</v>
      </c>
    </row>
    <row r="27" spans="1:3" s="2679" customFormat="1">
      <c r="A27" s="2676">
        <v>16</v>
      </c>
      <c r="B27" s="44" t="s">
        <v>1706</v>
      </c>
      <c r="C27" s="2678">
        <f>+'Phụ lục 2-HĐND'!C27</f>
        <v>33000</v>
      </c>
    </row>
    <row r="28" spans="1:3" s="2683" customFormat="1">
      <c r="A28" s="2673" t="s">
        <v>33</v>
      </c>
      <c r="B28" s="2674" t="s">
        <v>34</v>
      </c>
      <c r="C28" s="2682">
        <f>+'Phụ lục 2-HĐND'!C28</f>
        <v>500000</v>
      </c>
    </row>
    <row r="29" spans="1:3" s="2672" customFormat="1" ht="17.399999999999999">
      <c r="A29" s="5261" t="s">
        <v>182</v>
      </c>
      <c r="B29" s="5262" t="s">
        <v>3231</v>
      </c>
      <c r="C29" s="5268">
        <f>+'Phụ lục số 1'!Q56</f>
        <v>5553.7960000000003</v>
      </c>
    </row>
    <row r="30" spans="1:3" s="2683" customFormat="1">
      <c r="A30" s="2673" t="s">
        <v>37</v>
      </c>
      <c r="B30" s="2684" t="s">
        <v>1727</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3187</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09" t="s">
        <v>1658</v>
      </c>
      <c r="C1" s="6509"/>
      <c r="D1" s="6509"/>
    </row>
    <row r="2" spans="1:5" s="386" customFormat="1" ht="17.399999999999999" hidden="1">
      <c r="B2" s="6509" t="s">
        <v>1659</v>
      </c>
      <c r="C2" s="6509"/>
      <c r="D2" s="6509"/>
    </row>
    <row r="3" spans="1:5" s="386" customFormat="1" ht="17.399999999999999" hidden="1">
      <c r="B3" s="641"/>
      <c r="C3" s="6283"/>
      <c r="D3" s="6283"/>
      <c r="E3" s="6283"/>
    </row>
    <row r="4" spans="1:5" s="386" customFormat="1" ht="17.399999999999999">
      <c r="A4" s="6284" t="s">
        <v>1416</v>
      </c>
      <c r="B4" s="6283"/>
      <c r="C4" s="6283"/>
      <c r="D4" s="6283"/>
      <c r="E4" s="6283"/>
    </row>
    <row r="5" spans="1:5" s="386" customFormat="1">
      <c r="A5" s="6792" t="str">
        <f>+'Phụ lục 2-KQPB'!A5:C5</f>
        <v>(Kèm theo Báo cáo số            /BC-UBND ngày      /12/2024 của Ủy ban nhân dân tỉnh Đồng Tháp)</v>
      </c>
      <c r="B5" s="6254"/>
      <c r="C5" s="6254"/>
      <c r="D5" s="6254"/>
      <c r="E5" s="6254"/>
    </row>
    <row r="6" spans="1:5" s="386" customFormat="1" ht="17.399999999999999">
      <c r="A6" s="2695"/>
      <c r="B6" s="641"/>
      <c r="C6" s="641"/>
      <c r="D6" s="641"/>
      <c r="E6" s="641"/>
    </row>
    <row r="7" spans="1:5" ht="18.600000000000001" thickBot="1">
      <c r="B7" s="6577" t="s">
        <v>638</v>
      </c>
      <c r="C7" s="6577"/>
      <c r="D7" s="6577"/>
      <c r="E7" s="6577"/>
    </row>
    <row r="8" spans="1:5" s="386" customFormat="1" thickTop="1">
      <c r="A8" s="6563" t="s">
        <v>1660</v>
      </c>
      <c r="B8" s="6370" t="s">
        <v>137</v>
      </c>
      <c r="C8" s="6522" t="s">
        <v>1455</v>
      </c>
      <c r="D8" s="6522"/>
      <c r="E8" s="6794"/>
    </row>
    <row r="9" spans="1:5" s="386" customFormat="1" ht="17.399999999999999">
      <c r="A9" s="6793"/>
      <c r="B9" s="6371"/>
      <c r="C9" s="6371" t="s">
        <v>54</v>
      </c>
      <c r="D9" s="6466" t="s">
        <v>1710</v>
      </c>
      <c r="E9" s="6795"/>
    </row>
    <row r="10" spans="1:5" s="431" customFormat="1" ht="78.75" customHeight="1">
      <c r="A10" s="6793"/>
      <c r="B10" s="6371"/>
      <c r="C10" s="6371"/>
      <c r="D10" s="430" t="s">
        <v>1711</v>
      </c>
      <c r="E10" s="585" t="s">
        <v>1712</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39" t="s">
        <v>3189</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39" t="s">
        <v>3188</v>
      </c>
      <c r="C18" s="193">
        <f t="shared" si="1"/>
        <v>100000</v>
      </c>
      <c r="D18" s="193">
        <f>+'Phụ lục 3-HĐND'!D18</f>
        <v>100000</v>
      </c>
      <c r="E18" s="1648"/>
    </row>
    <row r="19" spans="1:5" ht="36">
      <c r="A19" s="603" t="s">
        <v>148</v>
      </c>
      <c r="B19" s="4940" t="s">
        <v>146</v>
      </c>
      <c r="C19" s="46">
        <f t="shared" si="1"/>
        <v>0</v>
      </c>
      <c r="D19" s="46">
        <f>'[28]Phụ lục số 2'!AA13</f>
        <v>0</v>
      </c>
      <c r="E19" s="1645">
        <f>'[28]Phụ lục số 2'!AB13</f>
        <v>0</v>
      </c>
    </row>
    <row r="20" spans="1:5">
      <c r="A20" s="603" t="s">
        <v>149</v>
      </c>
      <c r="B20" s="4940" t="s">
        <v>185</v>
      </c>
      <c r="C20" s="46">
        <f>SUM(C21:C22)</f>
        <v>0</v>
      </c>
      <c r="D20" s="46">
        <f t="shared" ref="D20:E20" si="2">SUM(D21:D22)</f>
        <v>0</v>
      </c>
      <c r="E20" s="1645">
        <f t="shared" si="2"/>
        <v>0</v>
      </c>
    </row>
    <row r="21" spans="1:5" ht="36">
      <c r="A21" s="614" t="s">
        <v>3126</v>
      </c>
      <c r="B21" s="4939" t="s">
        <v>3142</v>
      </c>
      <c r="C21" s="46">
        <f>SUM(D21:E21)</f>
        <v>0</v>
      </c>
      <c r="D21" s="46">
        <f>+'Phụ lục 3-HĐND'!D21</f>
        <v>0</v>
      </c>
      <c r="E21" s="1645"/>
    </row>
    <row r="22" spans="1:5" ht="108">
      <c r="A22" s="614" t="s">
        <v>3127</v>
      </c>
      <c r="B22" s="4939" t="s">
        <v>3141</v>
      </c>
      <c r="C22" s="46">
        <f>SUM(D22:E22)</f>
        <v>0</v>
      </c>
      <c r="D22" s="46">
        <f>+'Phụ lục 3-HĐND'!D22</f>
        <v>0</v>
      </c>
      <c r="E22" s="1645"/>
    </row>
    <row r="23" spans="1:5" ht="19.95" hidden="1" customHeight="1">
      <c r="A23" s="614"/>
      <c r="B23" s="4937"/>
      <c r="C23" s="46"/>
      <c r="D23" s="46"/>
      <c r="E23" s="1645"/>
    </row>
    <row r="24" spans="1:5" ht="19.95" hidden="1" customHeight="1">
      <c r="A24" s="2702"/>
      <c r="B24" s="46"/>
      <c r="C24" s="46"/>
      <c r="D24" s="46"/>
      <c r="E24" s="1645"/>
    </row>
    <row r="25" spans="1:5" s="2703" customFormat="1" ht="19.95" customHeight="1">
      <c r="A25" s="606" t="s">
        <v>33</v>
      </c>
      <c r="B25" s="2627" t="s">
        <v>1713</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1728</v>
      </c>
      <c r="C30" s="2783">
        <f>SUM(D30:E30)</f>
        <v>0</v>
      </c>
      <c r="D30" s="1653"/>
      <c r="E30" s="2701"/>
    </row>
    <row r="31" spans="1:5" s="2705" customFormat="1" ht="19.95" hidden="1" customHeight="1">
      <c r="A31" s="2784">
        <v>4</v>
      </c>
      <c r="B31" s="1653" t="s">
        <v>1729</v>
      </c>
      <c r="C31" s="2783">
        <f t="shared" ref="C31:C39" si="4">SUM(D31:E31)</f>
        <v>0</v>
      </c>
      <c r="D31" s="1653"/>
      <c r="E31" s="2701"/>
    </row>
    <row r="32" spans="1:5" s="2705" customFormat="1" ht="19.95" hidden="1" customHeight="1">
      <c r="A32" s="2784">
        <v>5</v>
      </c>
      <c r="B32" s="1653" t="s">
        <v>1685</v>
      </c>
      <c r="C32" s="2783">
        <f t="shared" si="4"/>
        <v>0</v>
      </c>
      <c r="D32" s="1653"/>
      <c r="E32" s="2701"/>
    </row>
    <row r="33" spans="1:5" s="2705" customFormat="1" ht="19.95" hidden="1" customHeight="1">
      <c r="A33" s="2784">
        <v>6</v>
      </c>
      <c r="B33" s="1653" t="s">
        <v>1686</v>
      </c>
      <c r="C33" s="2783">
        <f t="shared" si="4"/>
        <v>0</v>
      </c>
      <c r="D33" s="1653"/>
      <c r="E33" s="2701"/>
    </row>
    <row r="34" spans="1:5" s="2705" customFormat="1" ht="19.95" hidden="1" customHeight="1">
      <c r="A34" s="2784">
        <v>7</v>
      </c>
      <c r="B34" s="1653" t="s">
        <v>1687</v>
      </c>
      <c r="C34" s="2783">
        <f t="shared" si="4"/>
        <v>0</v>
      </c>
      <c r="D34" s="1653"/>
      <c r="E34" s="2701"/>
    </row>
    <row r="35" spans="1:5" s="2705" customFormat="1" ht="19.95" hidden="1" customHeight="1">
      <c r="A35" s="2784">
        <v>8</v>
      </c>
      <c r="B35" s="1653" t="s">
        <v>1689</v>
      </c>
      <c r="C35" s="2783">
        <f t="shared" si="4"/>
        <v>0</v>
      </c>
      <c r="D35" s="1653"/>
      <c r="E35" s="2701"/>
    </row>
    <row r="36" spans="1:5" s="2705" customFormat="1" ht="19.95" hidden="1" customHeight="1">
      <c r="A36" s="2784">
        <v>9</v>
      </c>
      <c r="B36" s="1653" t="s">
        <v>1730</v>
      </c>
      <c r="C36" s="2783">
        <f t="shared" si="4"/>
        <v>0</v>
      </c>
      <c r="D36" s="1653"/>
      <c r="E36" s="2701"/>
    </row>
    <row r="37" spans="1:5" s="2705" customFormat="1" ht="19.95" hidden="1" customHeight="1">
      <c r="A37" s="2784">
        <v>10</v>
      </c>
      <c r="B37" s="1653" t="s">
        <v>1690</v>
      </c>
      <c r="C37" s="2783">
        <f t="shared" si="4"/>
        <v>0</v>
      </c>
      <c r="D37" s="1653"/>
      <c r="E37" s="2701"/>
    </row>
    <row r="38" spans="1:5" s="2705" customFormat="1" ht="19.95" hidden="1" customHeight="1">
      <c r="A38" s="2784">
        <v>11</v>
      </c>
      <c r="B38" s="1653" t="s">
        <v>1731</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58">
        <v>3</v>
      </c>
      <c r="B40" s="4782" t="s">
        <v>1444</v>
      </c>
      <c r="C40" s="2699">
        <f>SUM(D40:E40)</f>
        <v>3500</v>
      </c>
      <c r="D40" s="2699">
        <f>+'Phụ lục 3-HĐND'!D30</f>
        <v>3500</v>
      </c>
      <c r="E40" s="2700">
        <f>+'Phụ lục 3-HĐND'!E30</f>
        <v>0</v>
      </c>
    </row>
    <row r="41" spans="1:5" s="2703" customFormat="1" ht="19.95" customHeight="1">
      <c r="A41" s="4958">
        <v>4</v>
      </c>
      <c r="B41" s="4782" t="s">
        <v>174</v>
      </c>
      <c r="C41" s="2699">
        <f>SUM(D41:E41)</f>
        <v>2000</v>
      </c>
      <c r="D41" s="2699">
        <f>+'Phụ lục 3-HĐND'!D31</f>
        <v>2000</v>
      </c>
      <c r="E41" s="2700">
        <f>+'Phụ lục 3-HĐND'!E31</f>
        <v>0</v>
      </c>
    </row>
    <row r="42" spans="1:5" s="2703" customFormat="1" ht="19.95" customHeight="1">
      <c r="A42" s="4958">
        <v>5</v>
      </c>
      <c r="B42" s="4782" t="s">
        <v>175</v>
      </c>
      <c r="C42" s="2699">
        <f>SUM(D42:E42)</f>
        <v>376400.94999999995</v>
      </c>
      <c r="D42" s="2699">
        <f>+'Phụ lục 3-HĐND'!D32</f>
        <v>163959.4</v>
      </c>
      <c r="E42" s="2700">
        <f>+'Phụ lục 3-HĐND'!E32</f>
        <v>212441.54999999996</v>
      </c>
    </row>
    <row r="43" spans="1:5" s="2703" customFormat="1" ht="19.95" customHeight="1">
      <c r="A43" s="4958">
        <v>6</v>
      </c>
      <c r="B43" s="4782"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59">
        <v>1</v>
      </c>
      <c r="B45" s="1815" t="s">
        <v>178</v>
      </c>
      <c r="C45" s="2699">
        <f>+C46+C47</f>
        <v>2530494</v>
      </c>
      <c r="D45" s="2699">
        <f t="shared" ref="D45:E45" si="6">+D46+D47</f>
        <v>2530494</v>
      </c>
      <c r="E45" s="2700">
        <f t="shared" si="6"/>
        <v>0</v>
      </c>
    </row>
    <row r="46" spans="1:5" s="2705" customFormat="1" hidden="1">
      <c r="A46" s="4960" t="s">
        <v>99</v>
      </c>
      <c r="B46" s="1815" t="s">
        <v>100</v>
      </c>
      <c r="C46" s="46">
        <f>SUM(D46:E46)</f>
        <v>2399255</v>
      </c>
      <c r="D46" s="46">
        <f>+'Phụ lục 3-HĐND'!D36</f>
        <v>2399255</v>
      </c>
      <c r="E46" s="1645">
        <f>+'Phụ lục 3-HĐND'!E36</f>
        <v>0</v>
      </c>
    </row>
    <row r="47" spans="1:5" s="2705" customFormat="1" hidden="1">
      <c r="A47" s="4960" t="s">
        <v>101</v>
      </c>
      <c r="B47" s="1815" t="s">
        <v>102</v>
      </c>
      <c r="C47" s="46">
        <f>SUM(D47:E47)</f>
        <v>131239</v>
      </c>
      <c r="D47" s="46">
        <f>+'Phụ lục 3-HĐND'!D37</f>
        <v>131239</v>
      </c>
      <c r="E47" s="1645">
        <f>+'Phụ lục 3-HĐND'!E37</f>
        <v>0</v>
      </c>
    </row>
    <row r="48" spans="1:5" s="2703" customFormat="1" ht="17.399999999999999">
      <c r="A48" s="4959">
        <v>2</v>
      </c>
      <c r="B48" s="1815" t="s">
        <v>179</v>
      </c>
      <c r="C48" s="2699">
        <f>+C49+C50</f>
        <v>221912</v>
      </c>
      <c r="D48" s="2699">
        <f t="shared" ref="D48:E48" si="7">+D49+D50</f>
        <v>125737</v>
      </c>
      <c r="E48" s="2700">
        <f t="shared" si="7"/>
        <v>96175</v>
      </c>
    </row>
    <row r="49" spans="1:5" s="2705" customFormat="1" hidden="1">
      <c r="A49" s="4960" t="s">
        <v>99</v>
      </c>
      <c r="B49" s="1815" t="s">
        <v>103</v>
      </c>
      <c r="C49" s="46">
        <f>SUM(D49:E49)</f>
        <v>186007</v>
      </c>
      <c r="D49" s="46">
        <f>+'Phụ lục 3-HĐND'!D39</f>
        <v>89832</v>
      </c>
      <c r="E49" s="1645">
        <f>+'Phụ lục 3-HĐND'!E39</f>
        <v>96175</v>
      </c>
    </row>
    <row r="50" spans="1:5" s="2705" customFormat="1" hidden="1">
      <c r="A50" s="4960" t="s">
        <v>101</v>
      </c>
      <c r="B50" s="1815" t="s">
        <v>102</v>
      </c>
      <c r="C50" s="46">
        <f>SUM(D50:E50)</f>
        <v>35905</v>
      </c>
      <c r="D50" s="46">
        <f>+'Phụ lục 3-HĐND'!D40</f>
        <v>35905</v>
      </c>
      <c r="E50" s="1645">
        <f>+'Phụ lục 3-HĐND'!E40</f>
        <v>0</v>
      </c>
    </row>
    <row r="51" spans="1:5" ht="19.95" customHeight="1">
      <c r="A51" s="4959">
        <v>3</v>
      </c>
      <c r="B51" s="1815" t="s">
        <v>180</v>
      </c>
      <c r="C51" s="46">
        <f>+C52+C53</f>
        <v>284586</v>
      </c>
      <c r="D51" s="46">
        <f t="shared" ref="D51:E51" si="8">+D52+D53</f>
        <v>126376</v>
      </c>
      <c r="E51" s="1645">
        <f t="shared" si="8"/>
        <v>158210</v>
      </c>
    </row>
    <row r="52" spans="1:5" ht="19.95" hidden="1" customHeight="1">
      <c r="A52" s="4960" t="s">
        <v>99</v>
      </c>
      <c r="B52" s="1815" t="s">
        <v>104</v>
      </c>
      <c r="C52" s="46">
        <f>SUM(D52:E52)</f>
        <v>0</v>
      </c>
      <c r="D52" s="46">
        <f>+'Phụ lục 3-HĐND'!D42</f>
        <v>0</v>
      </c>
      <c r="E52" s="1645">
        <f>+'Phụ lục 3-HĐND'!E42</f>
        <v>0</v>
      </c>
    </row>
    <row r="53" spans="1:5" hidden="1">
      <c r="A53" s="4960" t="s">
        <v>101</v>
      </c>
      <c r="B53" s="1815" t="s">
        <v>105</v>
      </c>
      <c r="C53" s="46">
        <f>SUM(D53:E53)</f>
        <v>284586</v>
      </c>
      <c r="D53" s="46">
        <f>+'Phụ lục 3-HĐND'!D43</f>
        <v>126376</v>
      </c>
      <c r="E53" s="1645">
        <f>+'Phụ lục 3-HĐND'!E43</f>
        <v>158210</v>
      </c>
    </row>
    <row r="54" spans="1:5" s="588" customFormat="1" ht="19.95" customHeight="1">
      <c r="A54" s="4958" t="s">
        <v>215</v>
      </c>
      <c r="B54" s="1933" t="s">
        <v>181</v>
      </c>
      <c r="C54" s="2699">
        <f t="shared" si="3"/>
        <v>0</v>
      </c>
      <c r="D54" s="2699">
        <f>+'Phụ lục 3-HĐND'!D44</f>
        <v>0</v>
      </c>
      <c r="E54" s="2700">
        <f>+'Phụ lục 3-HĐND'!E44</f>
        <v>0</v>
      </c>
    </row>
    <row r="55" spans="1:5" s="588" customFormat="1" ht="19.95" customHeight="1">
      <c r="A55" s="5278" t="s">
        <v>718</v>
      </c>
      <c r="B55" s="5242" t="s">
        <v>3240</v>
      </c>
      <c r="C55" s="45">
        <f t="shared" si="3"/>
        <v>5553.7960000000003</v>
      </c>
      <c r="D55" s="45">
        <f>+'Phụ lục 3-HĐND'!D45</f>
        <v>5553.7960000000003</v>
      </c>
      <c r="E55" s="5359"/>
    </row>
    <row r="56" spans="1:5" s="588" customFormat="1" ht="20.100000000000001" customHeight="1" thickBot="1">
      <c r="A56" s="4961" t="s">
        <v>37</v>
      </c>
      <c r="B56" s="4962" t="s">
        <v>347</v>
      </c>
      <c r="C56" s="4963">
        <f>SUM(D56:E56)</f>
        <v>186700</v>
      </c>
      <c r="D56" s="4963">
        <f>+'Phụ lục 3-HĐND'!D46</f>
        <v>186700</v>
      </c>
      <c r="E56" s="4964">
        <f>+'Phụ lục 3-HĐND'!E46</f>
        <v>0</v>
      </c>
    </row>
    <row r="57" spans="1:5" ht="18.600000000000001" thickTop="1">
      <c r="B57" s="588" t="s">
        <v>1717</v>
      </c>
    </row>
    <row r="58" spans="1:5" s="596" customFormat="1" ht="36">
      <c r="B58" s="2709" t="s">
        <v>1718</v>
      </c>
      <c r="D58" s="2710">
        <f>SUM(D60:D62)</f>
        <v>7078351.9069999997</v>
      </c>
      <c r="E58" s="1073" t="s">
        <v>3220</v>
      </c>
    </row>
    <row r="59" spans="1:5" s="596" customFormat="1">
      <c r="B59" s="2709" t="s">
        <v>822</v>
      </c>
      <c r="D59" s="2710"/>
      <c r="E59" s="1073"/>
    </row>
    <row r="60" spans="1:5" s="617" customFormat="1">
      <c r="B60" s="2711" t="s">
        <v>1719</v>
      </c>
      <c r="D60" s="2712">
        <f>+'Phụ lục 3-HĐND'!D50</f>
        <v>4430923</v>
      </c>
      <c r="E60" s="5147" t="s">
        <v>3220</v>
      </c>
    </row>
    <row r="61" spans="1:5" s="617" customFormat="1">
      <c r="B61" s="5108" t="s">
        <v>3191</v>
      </c>
      <c r="D61" s="2712">
        <f>+'Phụ lục 3-HĐND'!D51</f>
        <v>1681469</v>
      </c>
      <c r="E61" s="5147" t="s">
        <v>3220</v>
      </c>
    </row>
    <row r="62" spans="1:5" s="617" customFormat="1">
      <c r="B62" s="5109" t="s">
        <v>3135</v>
      </c>
      <c r="D62" s="2712">
        <f>+'Phụ lục 3-HĐND'!D52</f>
        <v>965959.90700000001</v>
      </c>
      <c r="E62" s="5147" t="s">
        <v>3220</v>
      </c>
    </row>
    <row r="63" spans="1:5" s="596" customFormat="1" ht="36">
      <c r="B63" s="2709" t="s">
        <v>1720</v>
      </c>
      <c r="D63" s="2710">
        <f>+D56</f>
        <v>186700</v>
      </c>
      <c r="E63" s="1073" t="s">
        <v>3220</v>
      </c>
    </row>
    <row r="64" spans="1:5">
      <c r="B64" s="381" t="s">
        <v>234</v>
      </c>
    </row>
    <row r="65" spans="1:5">
      <c r="A65" s="873"/>
      <c r="B65" s="6791" t="str">
        <f>+'Phụ lục 3-HĐND'!B55:C55</f>
        <v>- Trả nợ vay từ nguồn vốn Chính phủ vay về cho vay lại</v>
      </c>
      <c r="C65" s="6791"/>
      <c r="D65" s="688">
        <f>+'Phụ lục 3-HĐND'!D55</f>
        <v>20800</v>
      </c>
      <c r="E65" s="5107" t="s">
        <v>3220</v>
      </c>
    </row>
    <row r="66" spans="1:5">
      <c r="A66" s="873"/>
      <c r="B66" s="6791" t="str">
        <f>+'Phụ lục 3-HĐND'!B56:C56</f>
        <v>- Chương trình Cụm tuyến dân cư, tôn nền vượt lũ</v>
      </c>
      <c r="C66" s="6791"/>
      <c r="D66" s="688">
        <f>+D63-D65</f>
        <v>165900</v>
      </c>
      <c r="E66" s="5107" t="s">
        <v>3220</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11" t="s">
        <v>1777</v>
      </c>
      <c r="B1" s="6499"/>
      <c r="C1" s="6499"/>
      <c r="D1" s="6499"/>
      <c r="E1" s="6499"/>
    </row>
    <row r="2" spans="1:5">
      <c r="A2" s="6512" t="str">
        <f>+'Phụ lục 3-KQPB'!A5:E5</f>
        <v>(Kèm theo Báo cáo số            /BC-UBND ngày      /12/2024 của Ủy ban nhân dân tỉnh Đồng Tháp)</v>
      </c>
      <c r="B2" s="6499"/>
      <c r="C2" s="6499"/>
      <c r="D2" s="6499"/>
      <c r="E2" s="6499"/>
    </row>
    <row r="3" spans="1:5">
      <c r="A3" s="431"/>
      <c r="B3" s="2635"/>
      <c r="C3" s="2635"/>
      <c r="D3" s="2635"/>
      <c r="E3" s="2635"/>
    </row>
    <row r="4" spans="1:5" ht="18.600000000000001" thickBot="1">
      <c r="B4" s="6577" t="s">
        <v>638</v>
      </c>
      <c r="C4" s="6577"/>
      <c r="D4" s="6577"/>
      <c r="E4" s="6577"/>
    </row>
    <row r="5" spans="1:5" s="431" customFormat="1" thickTop="1">
      <c r="A5" s="6563" t="s">
        <v>247</v>
      </c>
      <c r="B5" s="6521" t="s">
        <v>1123</v>
      </c>
      <c r="C5" s="6521" t="s">
        <v>1455</v>
      </c>
      <c r="D5" s="6521" t="s">
        <v>998</v>
      </c>
      <c r="E5" s="6578"/>
    </row>
    <row r="6" spans="1:5" s="431" customFormat="1" ht="34.799999999999997">
      <c r="A6" s="6564"/>
      <c r="B6" s="6046"/>
      <c r="C6" s="6046"/>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62">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63"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63"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63"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63"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63"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63"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63"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63"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63"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64"/>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11" t="s">
        <v>3269</v>
      </c>
      <c r="B1" s="6111"/>
      <c r="C1" s="6111"/>
      <c r="D1" s="6111"/>
      <c r="E1" s="6111"/>
      <c r="F1" s="6111"/>
    </row>
    <row r="2" spans="1:7" s="386" customFormat="1">
      <c r="A2" s="6512" t="str">
        <f>+'Phụ lục 4-KQPB'!A2:E2</f>
        <v>(Kèm theo Báo cáo số            /BC-UBND ngày      /12/2024 của Ủy ban nhân dân tỉnh Đồng Tháp)</v>
      </c>
      <c r="B2" s="6499"/>
      <c r="C2" s="6499"/>
      <c r="D2" s="6499"/>
      <c r="E2" s="6499"/>
      <c r="F2" s="6499"/>
    </row>
    <row r="3" spans="1:7">
      <c r="B3" s="6043"/>
      <c r="C3" s="6043"/>
      <c r="D3" s="6043"/>
      <c r="E3" s="6043"/>
    </row>
    <row r="5" spans="1:7" s="588" customFormat="1" ht="17.399999999999999">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5" t="str">
        <f>'[28]Phụ lục 2-HĐND'!B20</f>
        <v>Chi đầu tư xây dựng cơ bản</v>
      </c>
      <c r="C8" s="6625"/>
      <c r="D8" s="6625"/>
      <c r="E8" s="2805">
        <f>+'Phụ lục 1-KQPB'!C29</f>
        <v>966890</v>
      </c>
      <c r="F8" s="381" t="s">
        <v>432</v>
      </c>
    </row>
    <row r="9" spans="1:7" s="386" customFormat="1">
      <c r="A9" s="583">
        <v>2</v>
      </c>
      <c r="B9" s="6625" t="str">
        <f>'[28]Phụ lục 2-HĐND'!B21</f>
        <v>Chi đầu tư từ nguồn thu tiền sử dụng đất</v>
      </c>
      <c r="C9" s="6625"/>
      <c r="D9" s="6625"/>
      <c r="E9" s="2805">
        <f>+'Phụ lục 1-KQPB'!C30</f>
        <v>1600000</v>
      </c>
      <c r="F9" s="381" t="s">
        <v>432</v>
      </c>
    </row>
    <row r="10" spans="1:7" s="386" customFormat="1">
      <c r="A10" s="583">
        <v>3</v>
      </c>
      <c r="B10" s="6625" t="str">
        <f>'[28]Phụ lục 2-HĐND'!B22</f>
        <v>Chi đầu tư từ nguồn thu xổ số kiến thiết</v>
      </c>
      <c r="C10" s="6625"/>
      <c r="D10" s="6625"/>
      <c r="E10" s="2805">
        <f>+'Phụ lục 1-KQPB'!C32</f>
        <v>2100000</v>
      </c>
      <c r="F10" s="381" t="s">
        <v>432</v>
      </c>
    </row>
    <row r="11" spans="1:7" s="386" customFormat="1">
      <c r="A11" s="641"/>
      <c r="B11" s="2806" t="s">
        <v>234</v>
      </c>
      <c r="D11" s="2804"/>
      <c r="F11" s="381"/>
    </row>
    <row r="12" spans="1:7" s="873" customFormat="1">
      <c r="A12" s="680"/>
      <c r="B12" s="2807" t="s">
        <v>1734</v>
      </c>
      <c r="D12" s="2808"/>
      <c r="E12" s="2809">
        <v>812200</v>
      </c>
      <c r="F12" s="873" t="s">
        <v>432</v>
      </c>
      <c r="G12" s="2810"/>
    </row>
    <row r="13" spans="1:7" s="873" customFormat="1">
      <c r="A13" s="680"/>
      <c r="B13" s="2807" t="s">
        <v>1735</v>
      </c>
      <c r="D13" s="2808"/>
      <c r="E13" s="2809">
        <v>130000</v>
      </c>
      <c r="F13" s="873" t="s">
        <v>432</v>
      </c>
      <c r="G13" s="2811"/>
    </row>
    <row r="14" spans="1:7" s="617" customFormat="1">
      <c r="A14" s="2510">
        <v>4</v>
      </c>
      <c r="B14" s="6626" t="str">
        <f>'[28]Phụ lục 2-HĐND'!B23</f>
        <v>Chi đầu tư từ nguồn thu cổ phần hóa, thoái vốn doanh nghiệp nhà nước địa phương quản lý;…</v>
      </c>
      <c r="C14" s="6626"/>
      <c r="D14" s="6626"/>
      <c r="E14" s="2812">
        <f>+'Phụ lục 1-KQPB'!C34</f>
        <v>0</v>
      </c>
      <c r="F14" s="596" t="s">
        <v>432</v>
      </c>
      <c r="G14" s="2813"/>
    </row>
    <row r="15" spans="1:7" s="617" customFormat="1">
      <c r="A15" s="2510">
        <v>5</v>
      </c>
      <c r="B15" s="6626" t="str">
        <f>'[28]Phụ lục 2-HĐND'!B24</f>
        <v>Chi đầu tư phát triển khác (Ủy thác qua NH Chính sách xã hội chi nhánh tỉnh Đồng Tháp)</v>
      </c>
      <c r="C15" s="6626"/>
      <c r="D15" s="6626"/>
      <c r="E15" s="2812">
        <f>+'Phụ lục 1-KQPB'!C35</f>
        <v>0</v>
      </c>
      <c r="F15" s="596" t="s">
        <v>432</v>
      </c>
      <c r="G15" s="2813"/>
    </row>
    <row r="16" spans="1:7" s="386" customFormat="1" ht="17.399999999999999">
      <c r="A16" s="2800" t="s">
        <v>37</v>
      </c>
      <c r="B16" s="588" t="s">
        <v>1736</v>
      </c>
      <c r="F16" s="660"/>
    </row>
    <row r="17" spans="1:9" ht="18.600000000000001" thickBot="1">
      <c r="E17" s="6577" t="s">
        <v>638</v>
      </c>
      <c r="F17" s="6577"/>
    </row>
    <row r="18" spans="1:9" s="386" customFormat="1" thickTop="1">
      <c r="A18" s="6563" t="s">
        <v>136</v>
      </c>
      <c r="B18" s="6521" t="s">
        <v>248</v>
      </c>
      <c r="C18" s="6521" t="s">
        <v>3270</v>
      </c>
      <c r="D18" s="6521" t="s">
        <v>408</v>
      </c>
      <c r="E18" s="6521"/>
      <c r="F18" s="6578" t="s">
        <v>861</v>
      </c>
    </row>
    <row r="19" spans="1:9" s="386" customFormat="1" ht="34.799999999999997">
      <c r="A19" s="6564"/>
      <c r="B19" s="6046"/>
      <c r="C19" s="6046"/>
      <c r="D19" s="430" t="s">
        <v>1737</v>
      </c>
      <c r="E19" s="430" t="s">
        <v>1738</v>
      </c>
      <c r="F19" s="6624"/>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0" customFormat="1" ht="36">
      <c r="A25" s="52">
        <v>2</v>
      </c>
      <c r="B25" s="2779" t="s">
        <v>1742</v>
      </c>
      <c r="C25" s="5889">
        <f>SUM(C27:C28)</f>
        <v>165900</v>
      </c>
      <c r="D25" s="5889">
        <f>SUM(D27:D28)</f>
        <v>0</v>
      </c>
      <c r="E25" s="5889">
        <f>SUM(E27:E28)</f>
        <v>165900</v>
      </c>
      <c r="F25" s="2835" t="s">
        <v>1744</v>
      </c>
    </row>
    <row r="26" spans="1:9">
      <c r="A26" s="2822"/>
      <c r="B26" s="2823" t="s">
        <v>822</v>
      </c>
      <c r="C26" s="2824"/>
      <c r="D26" s="2824"/>
      <c r="E26" s="2824"/>
      <c r="F26" s="2825"/>
    </row>
    <row r="27" spans="1:9">
      <c r="A27" s="593" t="s">
        <v>99</v>
      </c>
      <c r="B27" s="2823" t="s">
        <v>3228</v>
      </c>
      <c r="C27" s="2829">
        <v>165900</v>
      </c>
      <c r="D27" s="2824">
        <v>0</v>
      </c>
      <c r="E27" s="2829">
        <f>+'Phụ lục 3-KQPB'!D66</f>
        <v>165900</v>
      </c>
      <c r="F27" s="2830" t="s">
        <v>1744</v>
      </c>
      <c r="H27" s="2420"/>
      <c r="I27" s="2831">
        <v>225040</v>
      </c>
    </row>
    <row r="28" spans="1:9">
      <c r="A28" s="2822" t="s">
        <v>1745</v>
      </c>
      <c r="B28" s="2823" t="s">
        <v>3229</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67500+20800</f>
        <v>88300</v>
      </c>
      <c r="D31" s="2827">
        <f>'[28]Phụ lục số 1'!AH60</f>
        <v>0</v>
      </c>
      <c r="E31" s="2827">
        <f>0+20800</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9">
      <c r="A33" s="2822"/>
      <c r="B33" s="2823" t="s">
        <v>234</v>
      </c>
      <c r="C33" s="2824"/>
      <c r="D33" s="2824"/>
      <c r="E33" s="2824"/>
      <c r="F33" s="2825"/>
    </row>
    <row r="34" spans="1:9" ht="36">
      <c r="A34" s="2822"/>
      <c r="B34" s="2826" t="s">
        <v>1741</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175"/>
      <c r="O1" s="6175"/>
      <c r="P1" s="6175"/>
      <c r="Q1" s="6175"/>
      <c r="AC1" s="6175"/>
      <c r="AD1" s="6175"/>
      <c r="AE1" s="6175"/>
      <c r="AF1" s="6175"/>
    </row>
    <row r="2" spans="1:33" s="1283" customFormat="1">
      <c r="A2" s="6176" t="s">
        <v>1348</v>
      </c>
      <c r="B2" s="6176"/>
      <c r="C2" s="6176"/>
      <c r="D2" s="6176"/>
      <c r="E2" s="6176"/>
      <c r="F2" s="6176"/>
      <c r="G2" s="6176"/>
      <c r="H2" s="6176"/>
      <c r="I2" s="6176"/>
      <c r="J2" s="6176"/>
      <c r="K2" s="6176"/>
      <c r="L2" s="6176"/>
      <c r="M2" s="6176"/>
      <c r="N2" s="6176"/>
      <c r="O2" s="6176"/>
      <c r="P2" s="6176"/>
      <c r="Q2" s="6176"/>
      <c r="R2" s="6176"/>
      <c r="S2" s="6176"/>
      <c r="T2" s="6176"/>
      <c r="U2" s="6176"/>
      <c r="V2" s="6176"/>
      <c r="W2" s="6176"/>
      <c r="X2" s="6176"/>
      <c r="Y2" s="6176"/>
      <c r="Z2" s="6176"/>
      <c r="AA2" s="6176"/>
      <c r="AB2" s="6176"/>
      <c r="AC2" s="6176"/>
      <c r="AD2" s="6176"/>
      <c r="AE2" s="6176"/>
      <c r="AF2" s="6176"/>
    </row>
    <row r="3" spans="1:33" s="1283" customFormat="1">
      <c r="A3" s="6176"/>
      <c r="B3" s="6176"/>
      <c r="C3" s="6176"/>
      <c r="D3" s="6176"/>
      <c r="E3" s="6176"/>
      <c r="F3" s="6176"/>
      <c r="G3" s="6176"/>
      <c r="H3" s="6176"/>
      <c r="I3" s="6176"/>
      <c r="J3" s="6176"/>
      <c r="K3" s="6176"/>
      <c r="L3" s="6176"/>
      <c r="M3" s="6176"/>
      <c r="N3" s="6176"/>
      <c r="O3" s="6176"/>
      <c r="P3" s="6176"/>
      <c r="Q3" s="6176"/>
      <c r="R3" s="6176"/>
      <c r="S3" s="6176"/>
      <c r="T3" s="6176"/>
      <c r="U3" s="6176"/>
      <c r="V3" s="6176"/>
      <c r="W3" s="6176"/>
      <c r="X3" s="6176"/>
      <c r="Y3" s="6176"/>
      <c r="Z3" s="6176"/>
      <c r="AA3" s="6176"/>
      <c r="AB3" s="6176"/>
      <c r="AC3" s="6176"/>
      <c r="AD3" s="6176"/>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179" t="s">
        <v>1121</v>
      </c>
      <c r="AC4" s="6179"/>
      <c r="AD4" s="6179"/>
      <c r="AE4" s="1359"/>
      <c r="AF4" s="1359"/>
    </row>
    <row r="5" spans="1:33">
      <c r="A5" s="6075" t="s">
        <v>247</v>
      </c>
      <c r="B5" s="6173" t="s">
        <v>1349</v>
      </c>
      <c r="C5" s="6177" t="s">
        <v>985</v>
      </c>
      <c r="D5" s="6177"/>
      <c r="E5" s="6177"/>
      <c r="F5" s="6177"/>
      <c r="G5" s="6177"/>
      <c r="H5" s="6177"/>
      <c r="I5" s="6177"/>
      <c r="J5" s="6177"/>
      <c r="K5" s="6177"/>
      <c r="L5" s="6177"/>
      <c r="M5" s="6177"/>
      <c r="N5" s="6177"/>
      <c r="O5" s="6177"/>
      <c r="P5" s="6177"/>
      <c r="Q5" s="6177"/>
      <c r="R5" s="6178" t="s">
        <v>1122</v>
      </c>
      <c r="S5" s="6178"/>
      <c r="T5" s="6178"/>
      <c r="U5" s="6178"/>
      <c r="V5" s="6178"/>
      <c r="W5" s="6178"/>
      <c r="X5" s="6178"/>
      <c r="Y5" s="6178"/>
      <c r="Z5" s="6178"/>
      <c r="AA5" s="6178"/>
      <c r="AB5" s="6178"/>
      <c r="AC5" s="6178"/>
      <c r="AD5" s="6178"/>
      <c r="AE5" s="6178"/>
      <c r="AF5" s="6178"/>
    </row>
    <row r="6" spans="1:33" s="1283" customFormat="1" ht="15.75" customHeight="1">
      <c r="A6" s="6075"/>
      <c r="B6" s="6173"/>
      <c r="C6" s="6173" t="s">
        <v>1350</v>
      </c>
      <c r="D6" s="6173" t="s">
        <v>1351</v>
      </c>
      <c r="E6" s="6174" t="s">
        <v>1352</v>
      </c>
      <c r="F6" s="6173" t="s">
        <v>1353</v>
      </c>
      <c r="G6" s="6173"/>
      <c r="H6" s="6173"/>
      <c r="I6" s="6173" t="s">
        <v>1354</v>
      </c>
      <c r="J6" s="6173" t="s">
        <v>1355</v>
      </c>
      <c r="K6" s="6173" t="s">
        <v>1354</v>
      </c>
      <c r="L6" s="6173" t="s">
        <v>1355</v>
      </c>
      <c r="M6" s="6173" t="s">
        <v>1124</v>
      </c>
      <c r="N6" s="6173" t="s">
        <v>186</v>
      </c>
      <c r="O6" s="6173"/>
      <c r="P6" s="6173" t="s">
        <v>996</v>
      </c>
      <c r="Q6" s="6173" t="s">
        <v>1125</v>
      </c>
      <c r="R6" s="6173" t="s">
        <v>1350</v>
      </c>
      <c r="S6" s="6173" t="s">
        <v>1351</v>
      </c>
      <c r="T6" s="6174" t="s">
        <v>1352</v>
      </c>
      <c r="U6" s="6173" t="s">
        <v>1353</v>
      </c>
      <c r="V6" s="6173"/>
      <c r="W6" s="6173"/>
      <c r="X6" s="6173" t="s">
        <v>1354</v>
      </c>
      <c r="Y6" s="6173" t="s">
        <v>1355</v>
      </c>
      <c r="Z6" s="6173" t="s">
        <v>1354</v>
      </c>
      <c r="AA6" s="6173" t="s">
        <v>1355</v>
      </c>
      <c r="AB6" s="6173" t="s">
        <v>1124</v>
      </c>
      <c r="AC6" s="6173" t="s">
        <v>186</v>
      </c>
      <c r="AD6" s="6173"/>
      <c r="AE6" s="6173" t="s">
        <v>1165</v>
      </c>
      <c r="AF6" s="6173" t="s">
        <v>1125</v>
      </c>
    </row>
    <row r="7" spans="1:33" s="1283" customFormat="1" ht="333" customHeight="1">
      <c r="A7" s="6075"/>
      <c r="B7" s="6173"/>
      <c r="C7" s="6173"/>
      <c r="D7" s="6173"/>
      <c r="E7" s="6174"/>
      <c r="F7" s="1284" t="s">
        <v>387</v>
      </c>
      <c r="G7" s="1284" t="s">
        <v>1356</v>
      </c>
      <c r="H7" s="1284" t="s">
        <v>1357</v>
      </c>
      <c r="I7" s="6173"/>
      <c r="J7" s="6173"/>
      <c r="K7" s="6173"/>
      <c r="L7" s="6173"/>
      <c r="M7" s="6173"/>
      <c r="N7" s="1284" t="s">
        <v>1358</v>
      </c>
      <c r="O7" s="1284" t="s">
        <v>1353</v>
      </c>
      <c r="P7" s="6173"/>
      <c r="Q7" s="6173"/>
      <c r="R7" s="6173"/>
      <c r="S7" s="6173"/>
      <c r="T7" s="6174"/>
      <c r="U7" s="1284" t="s">
        <v>387</v>
      </c>
      <c r="V7" s="1284" t="s">
        <v>1356</v>
      </c>
      <c r="W7" s="1284" t="s">
        <v>1357</v>
      </c>
      <c r="X7" s="6173"/>
      <c r="Y7" s="6173"/>
      <c r="Z7" s="6173"/>
      <c r="AA7" s="6173"/>
      <c r="AB7" s="6173"/>
      <c r="AC7" s="1284" t="s">
        <v>1358</v>
      </c>
      <c r="AD7" s="1284" t="s">
        <v>1353</v>
      </c>
      <c r="AE7" s="6173"/>
      <c r="AF7" s="6173"/>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450" t="s">
        <v>136</v>
      </c>
      <c r="B5" s="6450" t="s">
        <v>855</v>
      </c>
      <c r="C5" s="6450" t="s">
        <v>857</v>
      </c>
      <c r="D5" s="6066" t="s">
        <v>860</v>
      </c>
      <c r="E5" s="6450" t="s">
        <v>859</v>
      </c>
      <c r="F5" s="6450"/>
      <c r="G5" s="6450"/>
      <c r="H5" s="6450"/>
      <c r="I5" s="6450"/>
      <c r="J5" s="6450"/>
      <c r="K5" s="6450"/>
      <c r="L5" s="6450" t="s">
        <v>861</v>
      </c>
    </row>
    <row r="6" spans="1:12" s="738" customFormat="1" ht="58.5" customHeight="1">
      <c r="A6" s="6450"/>
      <c r="B6" s="6450"/>
      <c r="C6" s="6450"/>
      <c r="D6" s="6066"/>
      <c r="E6" s="852" t="s">
        <v>88</v>
      </c>
      <c r="F6" s="852" t="s">
        <v>89</v>
      </c>
      <c r="G6" s="852" t="s">
        <v>90</v>
      </c>
      <c r="H6" s="852" t="s">
        <v>91</v>
      </c>
      <c r="I6" s="852" t="s">
        <v>92</v>
      </c>
      <c r="J6" s="852" t="s">
        <v>93</v>
      </c>
      <c r="K6" s="852" t="s">
        <v>94</v>
      </c>
      <c r="L6" s="6450"/>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181" t="s">
        <v>1366</v>
      </c>
      <c r="B2" s="6181"/>
      <c r="C2" s="6181"/>
      <c r="D2" s="6181"/>
      <c r="E2" s="6181"/>
      <c r="F2" s="6181"/>
      <c r="G2" s="6181"/>
      <c r="H2" s="6181"/>
      <c r="I2" s="6181"/>
      <c r="J2" s="6181"/>
      <c r="K2" s="6181"/>
      <c r="L2" s="6181"/>
      <c r="M2" s="6181"/>
      <c r="N2" s="6181"/>
      <c r="O2" s="6181"/>
      <c r="P2" s="1305"/>
    </row>
    <row r="3" spans="1:17">
      <c r="A3" s="6181"/>
      <c r="B3" s="6181"/>
      <c r="C3" s="6181"/>
      <c r="D3" s="6181"/>
      <c r="E3" s="6181"/>
      <c r="F3" s="6181"/>
      <c r="G3" s="6181"/>
      <c r="H3" s="6181"/>
      <c r="I3" s="6181"/>
      <c r="J3" s="6181"/>
      <c r="K3" s="6181"/>
      <c r="L3" s="6181"/>
      <c r="M3" s="6181"/>
      <c r="N3" s="1305"/>
      <c r="O3" s="1305"/>
      <c r="P3" s="1305"/>
    </row>
    <row r="4" spans="1:17" ht="15.75" customHeight="1">
      <c r="A4" s="1301"/>
      <c r="B4" s="1337"/>
      <c r="C4" s="1337"/>
      <c r="D4" s="1337"/>
      <c r="E4" s="1337"/>
      <c r="F4" s="1337"/>
      <c r="G4" s="1337"/>
      <c r="H4" s="1337"/>
      <c r="I4" s="1337"/>
      <c r="J4" s="1337"/>
      <c r="K4" s="6184" t="s">
        <v>1121</v>
      </c>
      <c r="L4" s="6184"/>
      <c r="M4" s="6184"/>
      <c r="N4" s="1337"/>
      <c r="O4" s="1337"/>
      <c r="P4" s="1305"/>
    </row>
    <row r="5" spans="1:17">
      <c r="A5" s="6075" t="s">
        <v>247</v>
      </c>
      <c r="B5" s="6134" t="s">
        <v>1305</v>
      </c>
      <c r="C5" s="6182" t="s">
        <v>985</v>
      </c>
      <c r="D5" s="6182"/>
      <c r="E5" s="6182"/>
      <c r="F5" s="6182"/>
      <c r="G5" s="6182"/>
      <c r="H5" s="6182"/>
      <c r="I5" s="6183" t="s">
        <v>1122</v>
      </c>
      <c r="J5" s="6183"/>
      <c r="K5" s="6183"/>
      <c r="L5" s="6183"/>
      <c r="M5" s="6183"/>
      <c r="N5" s="6183"/>
      <c r="O5" s="6183"/>
      <c r="P5" s="1305"/>
    </row>
    <row r="6" spans="1:17" ht="15.75" customHeight="1">
      <c r="A6" s="6075"/>
      <c r="B6" s="6134"/>
      <c r="C6" s="6134" t="s">
        <v>1367</v>
      </c>
      <c r="D6" s="6134"/>
      <c r="E6" s="6134" t="s">
        <v>1307</v>
      </c>
      <c r="F6" s="6134"/>
      <c r="G6" s="6134" t="s">
        <v>996</v>
      </c>
      <c r="H6" s="6134" t="s">
        <v>1125</v>
      </c>
      <c r="I6" s="6134" t="s">
        <v>1368</v>
      </c>
      <c r="J6" s="6134" t="s">
        <v>1369</v>
      </c>
      <c r="K6" s="6134"/>
      <c r="L6" s="6134" t="s">
        <v>1370</v>
      </c>
      <c r="M6" s="6134"/>
      <c r="N6" s="6134" t="s">
        <v>1165</v>
      </c>
      <c r="O6" s="6134" t="s">
        <v>1125</v>
      </c>
      <c r="P6" s="1305"/>
    </row>
    <row r="7" spans="1:17" ht="15.75" customHeight="1">
      <c r="A7" s="6075"/>
      <c r="B7" s="6134"/>
      <c r="C7" s="6134"/>
      <c r="D7" s="6134"/>
      <c r="E7" s="6134"/>
      <c r="F7" s="6134"/>
      <c r="G7" s="6134"/>
      <c r="H7" s="6134"/>
      <c r="I7" s="6134"/>
      <c r="J7" s="6134"/>
      <c r="K7" s="6134"/>
      <c r="L7" s="6134"/>
      <c r="M7" s="6134"/>
      <c r="N7" s="6134"/>
      <c r="O7" s="6134"/>
      <c r="P7" s="1306"/>
    </row>
    <row r="8" spans="1:17" ht="15.75" customHeight="1">
      <c r="A8" s="6075"/>
      <c r="B8" s="6134"/>
      <c r="C8" s="6134" t="s">
        <v>987</v>
      </c>
      <c r="D8" s="6134" t="s">
        <v>1209</v>
      </c>
      <c r="E8" s="6134" t="s">
        <v>987</v>
      </c>
      <c r="F8" s="6134" t="s">
        <v>1209</v>
      </c>
      <c r="G8" s="6134"/>
      <c r="H8" s="6134"/>
      <c r="I8" s="6134"/>
      <c r="J8" s="6134" t="s">
        <v>987</v>
      </c>
      <c r="K8" s="6134" t="s">
        <v>1209</v>
      </c>
      <c r="L8" s="6134" t="s">
        <v>987</v>
      </c>
      <c r="M8" s="6134" t="s">
        <v>1209</v>
      </c>
      <c r="N8" s="6134"/>
      <c r="O8" s="6134"/>
      <c r="P8" s="1305"/>
    </row>
    <row r="9" spans="1:17" ht="49.5" customHeight="1">
      <c r="A9" s="6075"/>
      <c r="B9" s="6134"/>
      <c r="C9" s="6134"/>
      <c r="D9" s="6134"/>
      <c r="E9" s="6134"/>
      <c r="F9" s="6134"/>
      <c r="G9" s="6134"/>
      <c r="H9" s="6134"/>
      <c r="I9" s="6134"/>
      <c r="J9" s="6134"/>
      <c r="K9" s="6134"/>
      <c r="L9" s="6134"/>
      <c r="M9" s="6134"/>
      <c r="N9" s="6134"/>
      <c r="O9" s="6134"/>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149"/>
      <c r="B18" s="6149"/>
      <c r="C18" s="6149"/>
      <c r="D18" s="6149"/>
      <c r="E18" s="6149"/>
      <c r="F18" s="6149"/>
      <c r="G18" s="6149"/>
      <c r="H18" s="6149"/>
      <c r="I18" s="6149"/>
      <c r="J18" s="6149"/>
      <c r="M18" s="6130"/>
      <c r="N18" s="6130"/>
      <c r="O18" s="6130"/>
      <c r="P18" s="1316"/>
      <c r="Q18" s="1316"/>
      <c r="R18" s="1316"/>
    </row>
    <row r="19" spans="1:18">
      <c r="F19" s="6123"/>
      <c r="G19" s="6123"/>
      <c r="H19" s="6123"/>
      <c r="I19" s="1194"/>
      <c r="M19" s="6123"/>
      <c r="N19" s="6123"/>
      <c r="O19" s="6123"/>
      <c r="P19" s="1317"/>
      <c r="Q19" s="1317"/>
      <c r="R19" s="1317"/>
    </row>
    <row r="20" spans="1:18">
      <c r="F20" s="6123"/>
      <c r="G20" s="6123"/>
      <c r="H20" s="6123"/>
      <c r="I20" s="1194"/>
      <c r="M20" s="6123"/>
      <c r="N20" s="6123"/>
      <c r="O20" s="6123"/>
      <c r="P20" s="1317"/>
      <c r="Q20" s="1317"/>
      <c r="R20" s="1317"/>
    </row>
    <row r="21" spans="1:18">
      <c r="F21" s="6129"/>
      <c r="G21" s="6129"/>
      <c r="H21" s="6129"/>
      <c r="I21" s="1195"/>
      <c r="M21" s="6129"/>
      <c r="N21" s="6129"/>
      <c r="O21" s="6129"/>
      <c r="P21" s="1318"/>
      <c r="Q21" s="1318"/>
      <c r="R21" s="1318"/>
    </row>
    <row r="22" spans="1:18">
      <c r="D22" s="6180"/>
      <c r="E22" s="6180"/>
      <c r="F22" s="6180"/>
      <c r="G22" s="6180"/>
      <c r="H22" s="6180"/>
      <c r="I22" s="1319"/>
      <c r="K22" s="6180"/>
      <c r="L22" s="6180"/>
      <c r="M22" s="6180"/>
      <c r="N22" s="6180"/>
      <c r="O22" s="6180"/>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185" t="s">
        <v>1440</v>
      </c>
      <c r="B2" s="6185"/>
      <c r="C2" s="6185"/>
      <c r="D2" s="6185"/>
    </row>
    <row r="3" spans="1:22">
      <c r="A3" s="6187" t="str">
        <f>+'Phụ lục số II'!A3:Q3</f>
        <v>(Kèm theo Báo cáo số          /BC-UBND ngày            tháng 8 năm 2024 của Ủy ban nhân dân tỉnh Đồng Tháp)</v>
      </c>
      <c r="B3" s="6187"/>
      <c r="C3" s="6187"/>
      <c r="D3" s="6187"/>
    </row>
    <row r="4" spans="1:22">
      <c r="A4" s="1998"/>
      <c r="B4" s="1998"/>
      <c r="C4" s="1998"/>
    </row>
    <row r="5" spans="1:22">
      <c r="B5" s="6186" t="s">
        <v>246</v>
      </c>
      <c r="C5" s="6186"/>
      <c r="D5" s="6186"/>
    </row>
    <row r="6" spans="1:22" s="2005" customFormat="1">
      <c r="A6" s="6075" t="s">
        <v>247</v>
      </c>
      <c r="B6" s="6189" t="s">
        <v>248</v>
      </c>
      <c r="C6" s="6189" t="s">
        <v>1441</v>
      </c>
      <c r="D6" s="6189" t="s">
        <v>1442</v>
      </c>
      <c r="P6" s="1999"/>
    </row>
    <row r="7" spans="1:22" s="2005" customFormat="1" ht="36" customHeight="1">
      <c r="A7" s="6188"/>
      <c r="B7" s="6190"/>
      <c r="C7" s="6190"/>
      <c r="D7" s="6190"/>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37">
        <f>R10+R14+R15+R19+R11+R12+R13+R16</f>
        <v>689650</v>
      </c>
      <c r="V9" s="5437">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43"/>
    </row>
    <row r="11" spans="1:22" s="2007" customFormat="1">
      <c r="A11" s="2012">
        <v>2</v>
      </c>
      <c r="B11" s="2013" t="s">
        <v>1381</v>
      </c>
      <c r="C11" s="2014"/>
      <c r="D11" s="2015">
        <v>-181215</v>
      </c>
      <c r="G11" s="2016"/>
      <c r="H11" s="2016"/>
      <c r="I11" s="2017"/>
      <c r="J11" s="2018"/>
      <c r="O11" s="2019"/>
      <c r="P11" s="2020"/>
      <c r="Q11" s="2020"/>
      <c r="V11" s="5143"/>
    </row>
    <row r="12" spans="1:22" s="2007" customFormat="1">
      <c r="A12" s="2012">
        <v>3</v>
      </c>
      <c r="B12" s="2000" t="s">
        <v>1382</v>
      </c>
      <c r="C12" s="2014"/>
      <c r="D12" s="2015">
        <v>138495</v>
      </c>
      <c r="G12" s="2016"/>
      <c r="H12" s="2016"/>
      <c r="I12" s="2017"/>
      <c r="J12" s="2018"/>
      <c r="O12" s="2019"/>
      <c r="P12" s="2020"/>
      <c r="Q12" s="2020"/>
      <c r="R12" s="5142">
        <f>389983-R13</f>
        <v>218268</v>
      </c>
      <c r="V12" s="5143">
        <f>389983-V13</f>
        <v>218268</v>
      </c>
    </row>
    <row r="13" spans="1:22" s="2007" customFormat="1">
      <c r="A13" s="2012">
        <v>4</v>
      </c>
      <c r="B13" s="2000" t="s">
        <v>1383</v>
      </c>
      <c r="C13" s="2014">
        <v>171715</v>
      </c>
      <c r="D13" s="2015">
        <f>C13</f>
        <v>171715</v>
      </c>
      <c r="G13" s="2016"/>
      <c r="H13" s="2016"/>
      <c r="I13" s="2017"/>
      <c r="J13" s="2018"/>
      <c r="O13" s="2019"/>
      <c r="P13" s="2020"/>
      <c r="Q13" s="2020"/>
      <c r="R13" s="5142">
        <v>171715</v>
      </c>
      <c r="V13" s="5143">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42">
        <v>199675</v>
      </c>
      <c r="T14" s="2007">
        <f>+T15+T16</f>
        <v>36313.800000000003</v>
      </c>
      <c r="V14" s="5143">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42">
        <v>50032</v>
      </c>
      <c r="T15" s="2007">
        <f>229018*10%</f>
        <v>22901.800000000003</v>
      </c>
      <c r="V15" s="5143">
        <v>50032</v>
      </c>
    </row>
    <row r="16" spans="1:22" s="2007" customFormat="1">
      <c r="A16" s="2012"/>
      <c r="B16" s="2024" t="s">
        <v>1386</v>
      </c>
      <c r="C16" s="2014">
        <v>27676</v>
      </c>
      <c r="D16" s="2015">
        <f t="shared" ref="D16:D18" si="0">C16</f>
        <v>27676</v>
      </c>
      <c r="G16" s="2016"/>
      <c r="H16" s="2022">
        <f>431000</f>
        <v>431000</v>
      </c>
      <c r="I16" s="2022"/>
      <c r="J16" s="2007" t="s">
        <v>1387</v>
      </c>
      <c r="O16" s="2021"/>
      <c r="R16" s="5142">
        <v>49960</v>
      </c>
      <c r="T16" s="2007">
        <v>13412</v>
      </c>
      <c r="V16" s="5143">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43"/>
    </row>
    <row r="18" spans="1:29" s="2007" customFormat="1">
      <c r="A18" s="2012"/>
      <c r="B18" s="2024" t="s">
        <v>1389</v>
      </c>
      <c r="C18" s="2014">
        <v>9611</v>
      </c>
      <c r="D18" s="2015">
        <f t="shared" si="0"/>
        <v>9611</v>
      </c>
      <c r="G18" s="2016"/>
      <c r="H18" s="2016" t="s">
        <v>1390</v>
      </c>
      <c r="I18" s="2016"/>
      <c r="K18" s="2021">
        <f>I10+I19</f>
        <v>1041500</v>
      </c>
      <c r="L18" s="2021">
        <f>J17+L17</f>
        <v>1289000</v>
      </c>
      <c r="V18" s="5143"/>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43"/>
    </row>
    <row r="20" spans="1:29" s="2007" customFormat="1">
      <c r="A20" s="2012">
        <v>8</v>
      </c>
      <c r="B20" s="1997" t="s">
        <v>1392</v>
      </c>
      <c r="C20" s="2014">
        <v>650315</v>
      </c>
      <c r="D20" s="2015"/>
      <c r="F20" s="2021"/>
      <c r="G20" s="2016"/>
      <c r="H20" s="2016"/>
      <c r="I20" s="2016"/>
      <c r="K20" s="2021"/>
      <c r="L20" s="2021"/>
      <c r="T20" s="5235">
        <f>+T21-T22</f>
        <v>8172</v>
      </c>
      <c r="V20" s="5143"/>
      <c r="Y20" s="5235">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43">
        <v>2806245</v>
      </c>
      <c r="T21" s="5144">
        <f>376000-225000</f>
        <v>151000</v>
      </c>
      <c r="V21" s="5143">
        <v>2806245</v>
      </c>
      <c r="W21" s="2021">
        <f>+V21-D21</f>
        <v>-593350.34019457269</v>
      </c>
      <c r="Z21" s="5144">
        <v>12335657</v>
      </c>
    </row>
    <row r="22" spans="1:29" s="2007" customFormat="1">
      <c r="A22" s="2025" t="s">
        <v>3</v>
      </c>
      <c r="B22" s="1997" t="s">
        <v>1394</v>
      </c>
      <c r="C22" s="2027">
        <v>1052326</v>
      </c>
      <c r="D22" s="2027">
        <f>C22</f>
        <v>1052326</v>
      </c>
      <c r="F22" s="2011"/>
      <c r="M22" s="2021"/>
      <c r="S22" s="5144">
        <v>909498</v>
      </c>
      <c r="T22" s="5235">
        <f>+D22-S22</f>
        <v>142828</v>
      </c>
      <c r="V22" s="5142">
        <f>+V9-V21</f>
        <v>-2116595</v>
      </c>
      <c r="Z22" s="5144">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45">
        <f>+V21*10%</f>
        <v>280624.5</v>
      </c>
      <c r="X23" s="2021">
        <f>+D23</f>
        <v>1939698.8110859753</v>
      </c>
      <c r="Z23" s="5144">
        <f>+Z21-Z22</f>
        <v>9529412</v>
      </c>
      <c r="AA23" s="5145">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44">
        <v>871092</v>
      </c>
      <c r="AA24" s="5236">
        <f>+Z23-AA23</f>
        <v>-897566</v>
      </c>
    </row>
    <row r="25" spans="1:29" s="2007" customFormat="1">
      <c r="A25" s="2012">
        <v>2</v>
      </c>
      <c r="B25" s="2013" t="s">
        <v>1397</v>
      </c>
      <c r="C25" s="2087">
        <f>'[5]2a tong cong'!AJ30</f>
        <v>81027.605542987527</v>
      </c>
      <c r="D25" s="2086">
        <f>C25*2</f>
        <v>162055.21108597505</v>
      </c>
      <c r="G25" s="2021">
        <f>G24-G23</f>
        <v>768624.23719699983</v>
      </c>
      <c r="X25" s="5144">
        <f>926156-X24</f>
        <v>49196.5</v>
      </c>
      <c r="AA25" s="5144">
        <v>909000</v>
      </c>
      <c r="AB25" s="2021">
        <f>+D13+D14</f>
        <v>371390</v>
      </c>
      <c r="AC25" s="2021">
        <f>+AA25-AB25</f>
        <v>537610</v>
      </c>
    </row>
    <row r="26" spans="1:29" s="2007" customFormat="1">
      <c r="A26" s="2012">
        <v>3</v>
      </c>
      <c r="B26" s="2013" t="s">
        <v>1398</v>
      </c>
      <c r="C26" s="2014">
        <v>4150</v>
      </c>
      <c r="D26" s="2015">
        <f>C26*2</f>
        <v>8300</v>
      </c>
      <c r="AA26" s="5237">
        <f>-AA24</f>
        <v>897566</v>
      </c>
    </row>
    <row r="27" spans="1:29" s="2007" customFormat="1" ht="31.2">
      <c r="A27" s="2012">
        <v>4</v>
      </c>
      <c r="B27" s="2013" t="s">
        <v>1399</v>
      </c>
      <c r="C27" s="2015">
        <v>48751</v>
      </c>
      <c r="D27" s="2015">
        <f>C27*2</f>
        <v>97502</v>
      </c>
      <c r="E27" s="2021">
        <f>D21+D40</f>
        <v>3399595.3401945727</v>
      </c>
      <c r="V27" s="2007">
        <f>+C22/1800000*1490000</f>
        <v>871092.07777777768</v>
      </c>
      <c r="AA27" s="5237">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44">
        <v>909498</v>
      </c>
      <c r="X34" s="5144">
        <f>V21-W34</f>
        <v>1896747</v>
      </c>
    </row>
    <row r="35" spans="1:24" s="2007" customFormat="1">
      <c r="A35" s="2012"/>
      <c r="B35" s="2032" t="s">
        <v>1447</v>
      </c>
      <c r="C35" s="2014">
        <f>(C24+C25+C27+C34)*10%</f>
        <v>100202.76055429876</v>
      </c>
      <c r="D35" s="2015">
        <f>(D24+D25+D27+D34)*10%</f>
        <v>200405.52110859752</v>
      </c>
      <c r="F35" s="2021"/>
      <c r="H35" s="2021"/>
      <c r="V35" s="5144">
        <f>+V24*10%</f>
        <v>175391.90000000002</v>
      </c>
      <c r="W35" s="5144">
        <f>197000*2</f>
        <v>394000</v>
      </c>
      <c r="X35" s="5144">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38">
        <f t="shared" si="2"/>
        <v>-2116595</v>
      </c>
      <c r="W36" s="5144"/>
      <c r="X36" s="5144">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39">
        <f t="shared" si="3"/>
        <v>-2116595</v>
      </c>
      <c r="W37" s="5144"/>
      <c r="X37" s="5144">
        <f>V21-X36-W34</f>
        <v>312460.16129032243</v>
      </c>
    </row>
    <row r="38" spans="1:24" s="2007" customFormat="1">
      <c r="A38" s="2033">
        <v>2</v>
      </c>
      <c r="B38" s="2034" t="s">
        <v>1409</v>
      </c>
      <c r="C38" s="2035"/>
      <c r="D38" s="2035"/>
      <c r="E38" s="2021"/>
      <c r="F38" s="2021"/>
      <c r="G38" s="2007">
        <f>1800/1490</f>
        <v>1.2080536912751678</v>
      </c>
      <c r="W38" s="5144"/>
      <c r="X38" s="5144">
        <v>241000</v>
      </c>
    </row>
    <row r="39" spans="1:24" s="2005" customFormat="1">
      <c r="A39" s="2036"/>
      <c r="B39" s="2007"/>
      <c r="D39" s="2037"/>
      <c r="E39" s="2038"/>
      <c r="F39" s="2038"/>
      <c r="W39" s="5424"/>
      <c r="X39" s="5424">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191" t="s">
        <v>289</v>
      </c>
      <c r="B1" s="6191"/>
      <c r="C1" s="6191"/>
      <c r="D1" s="6191"/>
      <c r="E1" s="6191"/>
      <c r="F1" s="53"/>
      <c r="G1" s="53"/>
      <c r="H1" s="53"/>
      <c r="I1" s="53"/>
      <c r="J1" s="53"/>
      <c r="K1" s="53"/>
      <c r="L1" s="53"/>
      <c r="M1" s="53"/>
      <c r="N1" s="53"/>
      <c r="O1" s="53"/>
      <c r="P1" s="53"/>
      <c r="Q1" s="53"/>
      <c r="AI1" s="55"/>
      <c r="AQ1" s="55"/>
      <c r="AY1" s="55"/>
      <c r="BG1" s="55"/>
      <c r="BO1" s="55"/>
      <c r="BW1" s="55"/>
      <c r="CE1" s="55"/>
      <c r="CM1" s="55"/>
      <c r="CU1" s="55"/>
    </row>
    <row r="2" spans="1:99" ht="17.25" customHeight="1">
      <c r="A2" s="6192" t="s">
        <v>290</v>
      </c>
      <c r="B2" s="6192"/>
      <c r="C2" s="6192"/>
      <c r="D2" s="6192"/>
      <c r="E2" s="6192"/>
    </row>
    <row r="3" spans="1:99" ht="17.25" customHeight="1">
      <c r="A3" s="6192"/>
      <c r="B3" s="6192"/>
      <c r="C3" s="6192"/>
      <c r="D3" s="6192"/>
      <c r="E3" s="6192"/>
    </row>
    <row r="4" spans="1:99" ht="17.25" customHeight="1">
      <c r="A4" s="57"/>
      <c r="B4" s="57"/>
      <c r="C4" s="58"/>
    </row>
    <row r="5" spans="1:99" ht="17.25" customHeight="1" thickBot="1">
      <c r="B5" s="59"/>
      <c r="C5" s="6193" t="s">
        <v>246</v>
      </c>
      <c r="D5" s="6193"/>
      <c r="E5" s="6193"/>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069" t="s">
        <v>1452</v>
      </c>
      <c r="B1" s="6069"/>
      <c r="C1" s="6069"/>
      <c r="D1" s="6069"/>
      <c r="E1" s="6069"/>
      <c r="F1" s="6069"/>
      <c r="G1" s="6069"/>
      <c r="H1" s="6069"/>
      <c r="I1" s="6069"/>
      <c r="J1" s="6069"/>
      <c r="K1" s="6069"/>
      <c r="L1" s="6069"/>
      <c r="M1" s="6069"/>
    </row>
    <row r="2" spans="1:31">
      <c r="A2" s="6204"/>
      <c r="B2" s="6204"/>
      <c r="C2" s="6204"/>
      <c r="D2" s="6204"/>
      <c r="E2" s="6204"/>
      <c r="F2" s="6204"/>
      <c r="G2" s="6204"/>
      <c r="H2" s="6204"/>
      <c r="I2" s="6204"/>
      <c r="J2" s="6204"/>
      <c r="K2" s="6204"/>
      <c r="L2" s="6204"/>
      <c r="M2" s="6204"/>
    </row>
    <row r="4" spans="1:31" ht="18.600000000000001" thickBot="1">
      <c r="L4" s="6205" t="s">
        <v>246</v>
      </c>
      <c r="M4" s="6205"/>
    </row>
    <row r="5" spans="1:31" ht="49.5" customHeight="1">
      <c r="A5" s="6207" t="s">
        <v>247</v>
      </c>
      <c r="B5" s="6201" t="s">
        <v>248</v>
      </c>
      <c r="C5" s="6200" t="s">
        <v>322</v>
      </c>
      <c r="D5" s="6200"/>
      <c r="E5" s="6200" t="s">
        <v>323</v>
      </c>
      <c r="F5" s="6200"/>
      <c r="G5" s="6200" t="s">
        <v>324</v>
      </c>
      <c r="H5" s="6200"/>
      <c r="I5" s="6200" t="s">
        <v>290</v>
      </c>
      <c r="J5" s="6200"/>
      <c r="K5" s="6196" t="s">
        <v>1122</v>
      </c>
      <c r="L5" s="6196" t="s">
        <v>187</v>
      </c>
      <c r="M5" s="6198" t="s">
        <v>188</v>
      </c>
      <c r="N5" s="2144"/>
      <c r="O5" s="2143"/>
      <c r="P5" s="6200" t="s">
        <v>326</v>
      </c>
      <c r="Q5" s="6200"/>
      <c r="R5" s="6201" t="s">
        <v>358</v>
      </c>
      <c r="S5" s="6201"/>
      <c r="T5" s="6202" t="s">
        <v>359</v>
      </c>
      <c r="U5" s="6202"/>
      <c r="V5" s="6202" t="s">
        <v>360</v>
      </c>
      <c r="W5" s="6202"/>
      <c r="X5" s="6202" t="s">
        <v>361</v>
      </c>
      <c r="Y5" s="6203"/>
      <c r="Z5" s="6206" t="s">
        <v>364</v>
      </c>
      <c r="AA5" s="6195"/>
      <c r="AB5" s="6194" t="s">
        <v>365</v>
      </c>
      <c r="AC5" s="6195"/>
      <c r="AD5" s="6194" t="s">
        <v>366</v>
      </c>
      <c r="AE5" s="6195"/>
    </row>
    <row r="6" spans="1:31" ht="34.799999999999997">
      <c r="A6" s="6208"/>
      <c r="B6" s="6209"/>
      <c r="C6" s="482" t="s">
        <v>327</v>
      </c>
      <c r="D6" s="482" t="s">
        <v>328</v>
      </c>
      <c r="E6" s="482" t="s">
        <v>327</v>
      </c>
      <c r="F6" s="482" t="s">
        <v>328</v>
      </c>
      <c r="G6" s="482" t="s">
        <v>327</v>
      </c>
      <c r="H6" s="482" t="s">
        <v>328</v>
      </c>
      <c r="I6" s="482" t="s">
        <v>327</v>
      </c>
      <c r="J6" s="482" t="s">
        <v>328</v>
      </c>
      <c r="K6" s="6197"/>
      <c r="L6" s="6197"/>
      <c r="M6" s="6199"/>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047" t="s">
        <v>410</v>
      </c>
      <c r="B1" s="6047"/>
      <c r="C1" s="6047"/>
      <c r="D1" s="6047"/>
      <c r="E1" s="6047"/>
      <c r="F1" s="6047"/>
      <c r="G1" s="6047"/>
      <c r="H1" s="6047"/>
      <c r="I1" s="6047"/>
      <c r="J1" s="6047"/>
      <c r="K1" s="6047"/>
      <c r="L1" s="6047"/>
      <c r="M1" s="6047"/>
      <c r="N1" s="6047"/>
      <c r="O1" s="6047"/>
      <c r="P1" s="6047"/>
      <c r="Q1" s="6047"/>
      <c r="R1" s="6047"/>
      <c r="S1" s="6047"/>
      <c r="T1" s="6047"/>
    </row>
    <row r="2" spans="1:20">
      <c r="A2" s="6047"/>
      <c r="B2" s="6047"/>
      <c r="C2" s="6047"/>
      <c r="D2" s="6047"/>
      <c r="E2" s="6047"/>
      <c r="F2" s="6047"/>
      <c r="G2" s="6047"/>
      <c r="H2" s="6047"/>
      <c r="I2" s="6047"/>
      <c r="J2" s="6047"/>
      <c r="K2" s="6047"/>
      <c r="L2" s="6047"/>
      <c r="M2" s="6047"/>
      <c r="N2" s="6047"/>
      <c r="O2" s="6047"/>
      <c r="P2" s="6047"/>
      <c r="Q2" s="6047"/>
      <c r="R2" s="6047"/>
      <c r="S2" s="6047"/>
      <c r="T2" s="6047"/>
    </row>
    <row r="3" spans="1:20" ht="18.600000000000001" thickBot="1">
      <c r="A3" s="382"/>
      <c r="B3" s="382"/>
      <c r="C3" s="382"/>
      <c r="D3" s="382"/>
      <c r="E3" s="382"/>
      <c r="F3" s="382"/>
      <c r="G3" s="382"/>
      <c r="H3" s="382"/>
      <c r="I3" s="382"/>
      <c r="J3" s="382"/>
      <c r="K3" s="382"/>
      <c r="L3" s="382"/>
      <c r="M3" s="382"/>
      <c r="T3" s="383" t="s">
        <v>372</v>
      </c>
    </row>
    <row r="4" spans="1:20" ht="18.75" customHeight="1">
      <c r="A4" s="6218" t="s">
        <v>247</v>
      </c>
      <c r="B4" s="6220" t="s">
        <v>373</v>
      </c>
      <c r="C4" s="6220" t="s">
        <v>374</v>
      </c>
      <c r="D4" s="6220" t="s">
        <v>375</v>
      </c>
      <c r="E4" s="6220"/>
      <c r="F4" s="6220"/>
      <c r="G4" s="6220"/>
      <c r="H4" s="6220"/>
      <c r="I4" s="6215" t="s">
        <v>407</v>
      </c>
      <c r="J4" s="6216"/>
      <c r="K4" s="6216"/>
      <c r="L4" s="6216"/>
      <c r="M4" s="6216"/>
      <c r="N4" s="6217"/>
      <c r="O4" s="6220" t="s">
        <v>408</v>
      </c>
      <c r="P4" s="6220"/>
      <c r="Q4" s="6220"/>
      <c r="R4" s="6220"/>
      <c r="S4" s="6220"/>
      <c r="T4" s="6222" t="s">
        <v>409</v>
      </c>
    </row>
    <row r="5" spans="1:20" ht="75" customHeight="1">
      <c r="A5" s="6219"/>
      <c r="B5" s="6221"/>
      <c r="C5" s="6221"/>
      <c r="D5" s="6210" t="s">
        <v>377</v>
      </c>
      <c r="E5" s="6210"/>
      <c r="F5" s="6210" t="s">
        <v>378</v>
      </c>
      <c r="G5" s="6210"/>
      <c r="H5" s="6210" t="s">
        <v>379</v>
      </c>
      <c r="I5" s="6210" t="s">
        <v>377</v>
      </c>
      <c r="J5" s="6210"/>
      <c r="K5" s="6210" t="s">
        <v>378</v>
      </c>
      <c r="L5" s="6210"/>
      <c r="M5" s="6210" t="s">
        <v>379</v>
      </c>
      <c r="N5" s="6213" t="s">
        <v>376</v>
      </c>
      <c r="O5" s="6210" t="s">
        <v>377</v>
      </c>
      <c r="P5" s="6210"/>
      <c r="Q5" s="6211" t="s">
        <v>378</v>
      </c>
      <c r="R5" s="6212"/>
      <c r="S5" s="6210" t="s">
        <v>380</v>
      </c>
      <c r="T5" s="6223"/>
    </row>
    <row r="6" spans="1:20" ht="104.4">
      <c r="A6" s="6219"/>
      <c r="B6" s="6221"/>
      <c r="C6" s="6221"/>
      <c r="D6" s="384" t="s">
        <v>54</v>
      </c>
      <c r="E6" s="384" t="s">
        <v>381</v>
      </c>
      <c r="F6" s="384" t="s">
        <v>54</v>
      </c>
      <c r="G6" s="384" t="s">
        <v>381</v>
      </c>
      <c r="H6" s="6210"/>
      <c r="I6" s="384" t="s">
        <v>54</v>
      </c>
      <c r="J6" s="384" t="s">
        <v>381</v>
      </c>
      <c r="K6" s="384" t="s">
        <v>54</v>
      </c>
      <c r="L6" s="384" t="s">
        <v>381</v>
      </c>
      <c r="M6" s="6210"/>
      <c r="N6" s="6214"/>
      <c r="O6" s="384" t="s">
        <v>54</v>
      </c>
      <c r="P6" s="384" t="s">
        <v>381</v>
      </c>
      <c r="Q6" s="384" t="s">
        <v>54</v>
      </c>
      <c r="R6" s="384" t="s">
        <v>381</v>
      </c>
      <c r="S6" s="6210"/>
      <c r="T6" s="6223"/>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058" t="s">
        <v>1411</v>
      </c>
      <c r="B1" s="6058"/>
      <c r="C1" s="6058"/>
      <c r="D1" s="6058"/>
      <c r="E1" s="6058"/>
      <c r="F1" s="6058"/>
      <c r="G1" s="6058"/>
      <c r="H1" s="6058"/>
      <c r="I1" s="6058"/>
      <c r="J1" s="6058"/>
      <c r="K1" s="6058"/>
      <c r="L1" s="6058"/>
      <c r="M1" s="6058"/>
      <c r="N1" s="6058"/>
      <c r="O1" s="6058"/>
      <c r="P1" s="6058"/>
      <c r="Q1" s="6058"/>
      <c r="R1" s="6058"/>
      <c r="S1" s="6058"/>
      <c r="T1" s="6058"/>
      <c r="U1" s="6058"/>
      <c r="V1" s="6058"/>
    </row>
    <row r="2" spans="1:67">
      <c r="A2" s="6058" t="s">
        <v>1434</v>
      </c>
      <c r="B2" s="6058"/>
      <c r="C2" s="6058"/>
      <c r="D2" s="6058"/>
      <c r="E2" s="6058"/>
      <c r="F2" s="6058"/>
      <c r="G2" s="6058"/>
      <c r="H2" s="6058"/>
      <c r="I2" s="6058"/>
      <c r="J2" s="6058"/>
      <c r="K2" s="6058"/>
      <c r="L2" s="6058"/>
      <c r="M2" s="6058"/>
      <c r="N2" s="6058"/>
      <c r="O2" s="6058"/>
      <c r="P2" s="6058"/>
      <c r="Q2" s="6058"/>
      <c r="R2" s="6058"/>
      <c r="S2" s="6058"/>
      <c r="T2" s="6058"/>
      <c r="U2" s="6058"/>
      <c r="V2" s="6058"/>
    </row>
    <row r="3" spans="1:67">
      <c r="A3" s="6061" t="s">
        <v>1413</v>
      </c>
      <c r="B3" s="6061"/>
      <c r="C3" s="6061"/>
      <c r="D3" s="6061"/>
      <c r="E3" s="6061"/>
      <c r="F3" s="6061"/>
      <c r="G3" s="6061"/>
      <c r="H3" s="6061"/>
      <c r="I3" s="6061"/>
      <c r="J3" s="6061"/>
      <c r="K3" s="6061"/>
      <c r="L3" s="6061"/>
      <c r="M3" s="6061"/>
      <c r="N3" s="6061"/>
      <c r="O3" s="6061"/>
      <c r="P3" s="6061"/>
      <c r="Q3" s="6061"/>
      <c r="R3" s="6061"/>
      <c r="S3" s="6061"/>
      <c r="T3" s="6061"/>
      <c r="U3" s="6061"/>
      <c r="V3" s="6061"/>
    </row>
    <row r="5" spans="1:67">
      <c r="J5" s="1662"/>
      <c r="M5" s="6"/>
      <c r="N5" s="6"/>
      <c r="Q5" s="6"/>
      <c r="S5" s="198"/>
      <c r="T5" s="6060" t="s">
        <v>246</v>
      </c>
      <c r="U5" s="6060"/>
      <c r="V5" s="6060"/>
    </row>
    <row r="6" spans="1:67">
      <c r="A6" s="6062" t="s">
        <v>0</v>
      </c>
      <c r="B6" s="6063" t="s">
        <v>49</v>
      </c>
      <c r="C6" s="6064" t="s">
        <v>50</v>
      </c>
      <c r="D6" s="6064"/>
      <c r="E6" s="6064"/>
      <c r="F6" s="6064"/>
      <c r="G6" s="6064"/>
      <c r="H6" s="6064"/>
      <c r="I6" s="6064"/>
      <c r="J6" s="6067" t="s">
        <v>120</v>
      </c>
      <c r="K6" s="6067"/>
      <c r="L6" s="6067"/>
      <c r="M6" s="6067"/>
      <c r="N6" s="6067"/>
      <c r="O6" s="6067"/>
      <c r="P6" s="6067"/>
      <c r="Q6" s="6067" t="s">
        <v>121</v>
      </c>
      <c r="R6" s="6067"/>
      <c r="S6" s="6067"/>
      <c r="T6" s="6067"/>
      <c r="U6" s="6067"/>
      <c r="V6" s="6067"/>
      <c r="W6" s="6067" t="s">
        <v>125</v>
      </c>
      <c r="X6" s="6067"/>
      <c r="Y6" s="6067"/>
      <c r="Z6" s="6067"/>
      <c r="AA6" s="6067"/>
      <c r="AB6" s="6067"/>
      <c r="AC6" s="6067" t="s">
        <v>126</v>
      </c>
      <c r="AD6" s="6067"/>
      <c r="AE6" s="6067"/>
      <c r="AF6" s="6067"/>
      <c r="AG6" s="6067"/>
      <c r="AH6" s="6067"/>
      <c r="AI6" s="6224" t="s">
        <v>1432</v>
      </c>
      <c r="AJ6" s="6225"/>
      <c r="AK6" s="6225"/>
      <c r="AL6" s="6225"/>
      <c r="AM6" s="6225"/>
      <c r="AN6" s="6226"/>
      <c r="AO6" s="6067" t="s">
        <v>127</v>
      </c>
      <c r="AP6" s="6067"/>
      <c r="AQ6" s="6067"/>
      <c r="AR6" s="6067"/>
      <c r="AS6" s="6067"/>
      <c r="AT6" s="6067"/>
      <c r="AU6" s="6067" t="s">
        <v>128</v>
      </c>
      <c r="AV6" s="6067"/>
      <c r="AW6" s="6067"/>
      <c r="AX6" s="6067"/>
      <c r="AY6" s="6067"/>
      <c r="AZ6" s="6067"/>
      <c r="BA6" s="6067" t="s">
        <v>129</v>
      </c>
      <c r="BB6" s="6067"/>
      <c r="BC6" s="6067"/>
      <c r="BD6" s="6067"/>
      <c r="BE6" s="6067"/>
      <c r="BF6" s="6067"/>
    </row>
    <row r="7" spans="1:67" ht="29.25" customHeight="1">
      <c r="A7" s="6062"/>
      <c r="B7" s="6063"/>
      <c r="C7" s="6063" t="s">
        <v>51</v>
      </c>
      <c r="D7" s="6063"/>
      <c r="E7" s="6063" t="s">
        <v>52</v>
      </c>
      <c r="F7" s="6063" t="s">
        <v>53</v>
      </c>
      <c r="G7" s="6063" t="s">
        <v>124</v>
      </c>
      <c r="H7" s="6063"/>
      <c r="I7" s="6063"/>
      <c r="J7" s="6066" t="s">
        <v>51</v>
      </c>
      <c r="K7" s="6068" t="s">
        <v>122</v>
      </c>
      <c r="L7" s="6068"/>
      <c r="M7" s="6063" t="s">
        <v>53</v>
      </c>
      <c r="N7" s="6063" t="s">
        <v>124</v>
      </c>
      <c r="O7" s="6063"/>
      <c r="P7" s="6063"/>
      <c r="Q7" s="6066" t="s">
        <v>51</v>
      </c>
      <c r="R7" s="6066" t="s">
        <v>123</v>
      </c>
      <c r="S7" s="6063" t="s">
        <v>53</v>
      </c>
      <c r="T7" s="6063" t="s">
        <v>124</v>
      </c>
      <c r="U7" s="6063"/>
      <c r="V7" s="6063"/>
      <c r="W7" s="6066" t="s">
        <v>51</v>
      </c>
      <c r="X7" s="6066" t="s">
        <v>131</v>
      </c>
      <c r="Y7" s="6063" t="s">
        <v>53</v>
      </c>
      <c r="Z7" s="6063" t="s">
        <v>124</v>
      </c>
      <c r="AA7" s="6063"/>
      <c r="AB7" s="6063"/>
      <c r="AC7" s="6066" t="s">
        <v>51</v>
      </c>
      <c r="AD7" s="6066" t="s">
        <v>132</v>
      </c>
      <c r="AE7" s="6063" t="s">
        <v>53</v>
      </c>
      <c r="AF7" s="6063" t="s">
        <v>124</v>
      </c>
      <c r="AG7" s="6063"/>
      <c r="AH7" s="6063"/>
      <c r="AI7" s="6066" t="s">
        <v>51</v>
      </c>
      <c r="AJ7" s="6066" t="s">
        <v>1433</v>
      </c>
      <c r="AK7" s="6063" t="s">
        <v>53</v>
      </c>
      <c r="AL7" s="6063" t="s">
        <v>124</v>
      </c>
      <c r="AM7" s="6063"/>
      <c r="AN7" s="6063"/>
      <c r="AO7" s="6066" t="s">
        <v>51</v>
      </c>
      <c r="AP7" s="6066" t="s">
        <v>133</v>
      </c>
      <c r="AQ7" s="6063" t="s">
        <v>53</v>
      </c>
      <c r="AR7" s="6063" t="s">
        <v>124</v>
      </c>
      <c r="AS7" s="6063"/>
      <c r="AT7" s="6063"/>
      <c r="AU7" s="6066" t="s">
        <v>51</v>
      </c>
      <c r="AV7" s="6066" t="s">
        <v>130</v>
      </c>
      <c r="AW7" s="6063" t="s">
        <v>53</v>
      </c>
      <c r="AX7" s="6063" t="s">
        <v>124</v>
      </c>
      <c r="AY7" s="6063"/>
      <c r="AZ7" s="6063"/>
      <c r="BA7" s="6066" t="s">
        <v>51</v>
      </c>
      <c r="BB7" s="6066" t="s">
        <v>134</v>
      </c>
      <c r="BC7" s="6063" t="s">
        <v>53</v>
      </c>
      <c r="BD7" s="6063" t="s">
        <v>124</v>
      </c>
      <c r="BE7" s="6063"/>
      <c r="BF7" s="6063"/>
    </row>
    <row r="8" spans="1:67" ht="78" customHeight="1">
      <c r="A8" s="6062"/>
      <c r="B8" s="6063"/>
      <c r="C8" s="755" t="s">
        <v>119</v>
      </c>
      <c r="D8" s="755" t="s">
        <v>118</v>
      </c>
      <c r="E8" s="6065"/>
      <c r="F8" s="6065"/>
      <c r="G8" s="1538" t="s">
        <v>54</v>
      </c>
      <c r="H8" s="1538" t="s">
        <v>55</v>
      </c>
      <c r="I8" s="130" t="s">
        <v>56</v>
      </c>
      <c r="J8" s="6066"/>
      <c r="K8" s="755" t="s">
        <v>119</v>
      </c>
      <c r="L8" s="755" t="s">
        <v>118</v>
      </c>
      <c r="M8" s="6066"/>
      <c r="N8" s="1538" t="s">
        <v>54</v>
      </c>
      <c r="O8" s="1538" t="s">
        <v>55</v>
      </c>
      <c r="P8" s="130" t="s">
        <v>56</v>
      </c>
      <c r="Q8" s="6066"/>
      <c r="R8" s="6066"/>
      <c r="S8" s="6066"/>
      <c r="T8" s="1538" t="s">
        <v>54</v>
      </c>
      <c r="U8" s="1538" t="s">
        <v>55</v>
      </c>
      <c r="V8" s="130" t="s">
        <v>56</v>
      </c>
      <c r="W8" s="6066"/>
      <c r="X8" s="6066"/>
      <c r="Y8" s="6066"/>
      <c r="Z8" s="1538" t="s">
        <v>54</v>
      </c>
      <c r="AA8" s="1538" t="s">
        <v>55</v>
      </c>
      <c r="AB8" s="130" t="s">
        <v>56</v>
      </c>
      <c r="AC8" s="6066"/>
      <c r="AD8" s="6066"/>
      <c r="AE8" s="6066"/>
      <c r="AF8" s="1538" t="s">
        <v>54</v>
      </c>
      <c r="AG8" s="1538" t="s">
        <v>55</v>
      </c>
      <c r="AH8" s="130" t="s">
        <v>56</v>
      </c>
      <c r="AI8" s="6066"/>
      <c r="AJ8" s="6066"/>
      <c r="AK8" s="6066"/>
      <c r="AL8" s="1538" t="s">
        <v>54</v>
      </c>
      <c r="AM8" s="1538" t="s">
        <v>55</v>
      </c>
      <c r="AN8" s="130" t="s">
        <v>56</v>
      </c>
      <c r="AO8" s="6066"/>
      <c r="AP8" s="6066"/>
      <c r="AQ8" s="6066"/>
      <c r="AR8" s="1538" t="s">
        <v>54</v>
      </c>
      <c r="AS8" s="1538" t="s">
        <v>55</v>
      </c>
      <c r="AT8" s="130" t="s">
        <v>56</v>
      </c>
      <c r="AU8" s="6066"/>
      <c r="AV8" s="6066"/>
      <c r="AW8" s="6066"/>
      <c r="AX8" s="1538" t="s">
        <v>54</v>
      </c>
      <c r="AY8" s="1538" t="s">
        <v>55</v>
      </c>
      <c r="AZ8" s="130" t="s">
        <v>56</v>
      </c>
      <c r="BA8" s="6066"/>
      <c r="BB8" s="6066"/>
      <c r="BC8" s="6066"/>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057" t="s">
        <v>1421</v>
      </c>
      <c r="N79" s="6057"/>
      <c r="O79" s="6057"/>
      <c r="P79" s="6057"/>
      <c r="S79" s="6059" t="s">
        <v>1423</v>
      </c>
      <c r="T79" s="6059"/>
      <c r="U79" s="6059"/>
      <c r="V79" s="6059"/>
      <c r="Y79" s="6057" t="s">
        <v>1426</v>
      </c>
      <c r="Z79" s="6057"/>
      <c r="AA79" s="6057"/>
      <c r="AB79" s="6057"/>
      <c r="AE79" s="6057" t="s">
        <v>1426</v>
      </c>
      <c r="AF79" s="6057"/>
      <c r="AG79" s="6057"/>
      <c r="AH79" s="6057"/>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057" t="s">
        <v>1422</v>
      </c>
      <c r="N87" s="6057"/>
      <c r="O87" s="6057"/>
      <c r="P87" s="6057"/>
      <c r="S87" s="6059" t="s">
        <v>1425</v>
      </c>
      <c r="T87" s="6059"/>
      <c r="U87" s="6059"/>
      <c r="V87" s="6059"/>
      <c r="Y87" s="6057" t="s">
        <v>1427</v>
      </c>
      <c r="Z87" s="6057"/>
      <c r="AA87" s="6057"/>
      <c r="AB87" s="6057"/>
      <c r="AE87" s="6057" t="s">
        <v>1427</v>
      </c>
      <c r="AF87" s="6057"/>
      <c r="AG87" s="6057"/>
      <c r="AH87" s="6057"/>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058" t="s">
        <v>1428</v>
      </c>
      <c r="N96" s="6058"/>
      <c r="O96" s="6058"/>
      <c r="P96" s="6058"/>
      <c r="S96" s="6058" t="s">
        <v>1429</v>
      </c>
      <c r="T96" s="6058"/>
      <c r="U96" s="6058"/>
      <c r="V96" s="6058"/>
      <c r="Y96" s="6058" t="s">
        <v>1429</v>
      </c>
      <c r="Z96" s="6058"/>
      <c r="AA96" s="6058"/>
      <c r="AB96" s="6058"/>
      <c r="AE96" s="6058" t="s">
        <v>1429</v>
      </c>
      <c r="AF96" s="6058"/>
      <c r="AG96" s="6058"/>
      <c r="AH96" s="6058"/>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053" t="s">
        <v>509</v>
      </c>
      <c r="B1" s="6053"/>
      <c r="C1" s="6053"/>
      <c r="F1" s="6054" t="s">
        <v>510</v>
      </c>
      <c r="G1" s="6054"/>
      <c r="H1" s="457"/>
    </row>
    <row r="2" spans="1:8">
      <c r="A2" s="458"/>
    </row>
    <row r="3" spans="1:8">
      <c r="A3" s="6055" t="s">
        <v>631</v>
      </c>
      <c r="B3" s="6055"/>
      <c r="C3" s="6055"/>
      <c r="D3" s="6055"/>
      <c r="E3" s="6055"/>
      <c r="F3" s="6055"/>
      <c r="G3" s="6055"/>
    </row>
    <row r="4" spans="1:8" ht="14.4" thickBot="1">
      <c r="A4" s="6056" t="s">
        <v>511</v>
      </c>
      <c r="B4" s="6056"/>
      <c r="C4" s="6056"/>
      <c r="D4" s="6056"/>
      <c r="E4" s="6056"/>
      <c r="F4" s="6056"/>
      <c r="G4" s="6056"/>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052" t="s">
        <v>627</v>
      </c>
      <c r="E134" s="6052"/>
      <c r="F134" s="6052"/>
      <c r="G134" s="6052"/>
    </row>
    <row r="135" spans="1:7">
      <c r="A135" s="481"/>
      <c r="D135" s="6051" t="s">
        <v>628</v>
      </c>
      <c r="E135" s="6051"/>
      <c r="F135" s="6051"/>
      <c r="G135" s="6051"/>
    </row>
    <row r="136" spans="1:7">
      <c r="A136" s="481"/>
      <c r="D136" s="6051" t="s">
        <v>629</v>
      </c>
      <c r="E136" s="6051"/>
      <c r="F136" s="6051"/>
      <c r="G136" s="6051"/>
    </row>
    <row r="137" spans="1:7">
      <c r="A137" s="481"/>
      <c r="D137" s="6052" t="s">
        <v>630</v>
      </c>
      <c r="E137" s="6052"/>
      <c r="F137" s="6052"/>
      <c r="G137" s="6052"/>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058" t="s">
        <v>1415</v>
      </c>
      <c r="B1" s="6058"/>
      <c r="C1" s="6058"/>
      <c r="D1" s="6058"/>
      <c r="E1" s="6058"/>
      <c r="F1" s="6058"/>
      <c r="G1" s="6058"/>
      <c r="H1" s="6058"/>
      <c r="I1" s="6058"/>
      <c r="J1" s="6058"/>
      <c r="K1" s="6058"/>
      <c r="L1" s="6058"/>
      <c r="M1" s="6058"/>
      <c r="N1" s="6058"/>
      <c r="O1" s="6058"/>
      <c r="P1" s="6058"/>
      <c r="Q1" s="6058"/>
    </row>
    <row r="2" spans="1:47" s="1" customFormat="1" ht="15.6">
      <c r="A2" s="6058" t="s">
        <v>1437</v>
      </c>
      <c r="B2" s="6058"/>
      <c r="C2" s="6058"/>
      <c r="D2" s="6058"/>
      <c r="E2" s="6058"/>
      <c r="F2" s="6058"/>
      <c r="G2" s="6058"/>
      <c r="H2" s="6058"/>
      <c r="I2" s="6058"/>
      <c r="J2" s="6058"/>
      <c r="K2" s="6058"/>
      <c r="L2" s="6058"/>
      <c r="M2" s="6058"/>
      <c r="N2" s="6058"/>
      <c r="O2" s="6058"/>
      <c r="P2" s="6058"/>
      <c r="Q2" s="6058"/>
    </row>
    <row r="3" spans="1:47" s="1" customFormat="1" ht="15.6">
      <c r="A3" s="6061" t="str">
        <f>'Phụ lục số I'!A3:V3</f>
        <v>(Kèm theo Báo cáo số          /BC-UBND ngày            tháng 8 năm 2024 của Ủy ban nhân dân tỉnh Đồng Tháp)</v>
      </c>
      <c r="B3" s="6061"/>
      <c r="C3" s="6061"/>
      <c r="D3" s="6061"/>
      <c r="E3" s="6061"/>
      <c r="F3" s="6061"/>
      <c r="G3" s="6061"/>
      <c r="H3" s="6061"/>
      <c r="I3" s="6061"/>
      <c r="J3" s="6061"/>
      <c r="K3" s="6061"/>
      <c r="L3" s="6061"/>
      <c r="M3" s="6061"/>
      <c r="N3" s="6061"/>
      <c r="O3" s="6061"/>
      <c r="P3" s="6061"/>
      <c r="Q3" s="6061"/>
    </row>
    <row r="4" spans="1:47">
      <c r="B4" s="30" t="s">
        <v>117</v>
      </c>
      <c r="H4" s="32"/>
      <c r="K4" s="30" t="s">
        <v>117</v>
      </c>
      <c r="N4" s="1732"/>
      <c r="W4" s="32"/>
    </row>
    <row r="5" spans="1:47">
      <c r="H5" s="1733"/>
      <c r="I5" s="1732"/>
      <c r="K5" s="1733"/>
      <c r="L5" s="1733"/>
      <c r="M5" s="1734"/>
      <c r="N5" s="1732"/>
      <c r="O5" s="6070" t="s">
        <v>246</v>
      </c>
      <c r="P5" s="6071"/>
      <c r="Q5" s="6071"/>
      <c r="W5" s="32"/>
      <c r="AB5" s="32">
        <f>+AB12-W12</f>
        <v>140079.44579632278</v>
      </c>
      <c r="AH5" s="32">
        <f>+AG12-AB12</f>
        <v>142339.74820876517</v>
      </c>
      <c r="AM5" s="32">
        <f>+AL12-AG12</f>
        <v>132871.69831924653</v>
      </c>
    </row>
    <row r="6" spans="1:47" s="1735" customFormat="1" ht="15" customHeight="1">
      <c r="A6" s="6075" t="s">
        <v>136</v>
      </c>
      <c r="B6" s="6072" t="s">
        <v>137</v>
      </c>
      <c r="C6" s="6076" t="s">
        <v>140</v>
      </c>
      <c r="D6" s="6077"/>
      <c r="E6" s="6077"/>
      <c r="F6" s="6077"/>
      <c r="G6" s="6078"/>
      <c r="H6" s="6079" t="s">
        <v>120</v>
      </c>
      <c r="I6" s="6079"/>
      <c r="J6" s="6079"/>
      <c r="K6" s="6079"/>
      <c r="L6" s="6079"/>
      <c r="M6" s="6079" t="s">
        <v>121</v>
      </c>
      <c r="N6" s="6079"/>
      <c r="O6" s="6079"/>
      <c r="P6" s="6079"/>
      <c r="Q6" s="6079"/>
      <c r="R6" s="6079" t="s">
        <v>187</v>
      </c>
      <c r="S6" s="6079"/>
      <c r="T6" s="6079"/>
      <c r="U6" s="6079"/>
      <c r="V6" s="6079"/>
      <c r="W6" s="6079" t="s">
        <v>188</v>
      </c>
      <c r="X6" s="6079"/>
      <c r="Y6" s="6079"/>
      <c r="Z6" s="6079"/>
      <c r="AA6" s="6079"/>
      <c r="AB6" s="6079" t="s">
        <v>189</v>
      </c>
      <c r="AC6" s="6079"/>
      <c r="AD6" s="6079"/>
      <c r="AE6" s="6079"/>
      <c r="AF6" s="6079"/>
      <c r="AG6" s="6079" t="s">
        <v>190</v>
      </c>
      <c r="AH6" s="6079"/>
      <c r="AI6" s="6079"/>
      <c r="AJ6" s="6079"/>
      <c r="AK6" s="6079"/>
      <c r="AL6" s="6079" t="s">
        <v>193</v>
      </c>
      <c r="AM6" s="6079"/>
      <c r="AN6" s="6079"/>
      <c r="AO6" s="6079"/>
      <c r="AP6" s="6079"/>
      <c r="AQ6" s="6079" t="s">
        <v>1435</v>
      </c>
      <c r="AR6" s="6079"/>
      <c r="AS6" s="6079"/>
      <c r="AT6" s="6079"/>
      <c r="AU6" s="6079"/>
    </row>
    <row r="7" spans="1:47" s="29" customFormat="1" ht="15" customHeight="1">
      <c r="A7" s="6075"/>
      <c r="B7" s="6073"/>
      <c r="C7" s="6072" t="s">
        <v>119</v>
      </c>
      <c r="D7" s="6072" t="s">
        <v>118</v>
      </c>
      <c r="E7" s="6072" t="s">
        <v>69</v>
      </c>
      <c r="F7" s="6076" t="s">
        <v>186</v>
      </c>
      <c r="G7" s="6078"/>
      <c r="H7" s="6079" t="s">
        <v>59</v>
      </c>
      <c r="I7" s="6079" t="s">
        <v>69</v>
      </c>
      <c r="J7" s="6079" t="s">
        <v>1417</v>
      </c>
      <c r="K7" s="6079" t="s">
        <v>186</v>
      </c>
      <c r="L7" s="6079"/>
      <c r="M7" s="6079" t="s">
        <v>59</v>
      </c>
      <c r="N7" s="6079" t="s">
        <v>69</v>
      </c>
      <c r="O7" s="6079" t="s">
        <v>194</v>
      </c>
      <c r="P7" s="6079" t="s">
        <v>186</v>
      </c>
      <c r="Q7" s="6079"/>
      <c r="R7" s="6079" t="s">
        <v>59</v>
      </c>
      <c r="S7" s="6079" t="s">
        <v>69</v>
      </c>
      <c r="T7" s="6079" t="s">
        <v>195</v>
      </c>
      <c r="U7" s="6079" t="s">
        <v>186</v>
      </c>
      <c r="V7" s="6079"/>
      <c r="W7" s="6079" t="s">
        <v>59</v>
      </c>
      <c r="X7" s="6079" t="s">
        <v>69</v>
      </c>
      <c r="Y7" s="6079" t="s">
        <v>196</v>
      </c>
      <c r="Z7" s="6079" t="s">
        <v>186</v>
      </c>
      <c r="AA7" s="6079"/>
      <c r="AB7" s="6079" t="s">
        <v>59</v>
      </c>
      <c r="AC7" s="6079" t="s">
        <v>69</v>
      </c>
      <c r="AD7" s="6079" t="s">
        <v>197</v>
      </c>
      <c r="AE7" s="6079" t="s">
        <v>186</v>
      </c>
      <c r="AF7" s="6079"/>
      <c r="AG7" s="6079" t="s">
        <v>59</v>
      </c>
      <c r="AH7" s="6079" t="s">
        <v>69</v>
      </c>
      <c r="AI7" s="6079" t="s">
        <v>198</v>
      </c>
      <c r="AJ7" s="6079" t="s">
        <v>186</v>
      </c>
      <c r="AK7" s="6079"/>
      <c r="AL7" s="6079" t="s">
        <v>59</v>
      </c>
      <c r="AM7" s="6079" t="s">
        <v>69</v>
      </c>
      <c r="AN7" s="6079" t="s">
        <v>199</v>
      </c>
      <c r="AO7" s="6079" t="s">
        <v>186</v>
      </c>
      <c r="AP7" s="6079"/>
      <c r="AQ7" s="6079" t="s">
        <v>59</v>
      </c>
      <c r="AR7" s="6079" t="s">
        <v>69</v>
      </c>
      <c r="AS7" s="6079" t="s">
        <v>1436</v>
      </c>
      <c r="AT7" s="6079" t="s">
        <v>186</v>
      </c>
      <c r="AU7" s="6079"/>
    </row>
    <row r="8" spans="1:47" s="29" customFormat="1" ht="96" customHeight="1">
      <c r="A8" s="6075"/>
      <c r="B8" s="6074"/>
      <c r="C8" s="6074"/>
      <c r="D8" s="6074"/>
      <c r="E8" s="6074"/>
      <c r="F8" s="1736" t="s">
        <v>138</v>
      </c>
      <c r="G8" s="1736" t="s">
        <v>139</v>
      </c>
      <c r="H8" s="6079"/>
      <c r="I8" s="6079"/>
      <c r="J8" s="6079"/>
      <c r="K8" s="1736" t="s">
        <v>138</v>
      </c>
      <c r="L8" s="1736" t="s">
        <v>139</v>
      </c>
      <c r="M8" s="6079"/>
      <c r="N8" s="6079"/>
      <c r="O8" s="6079"/>
      <c r="P8" s="1736" t="s">
        <v>138</v>
      </c>
      <c r="Q8" s="1736" t="s">
        <v>139</v>
      </c>
      <c r="R8" s="6079"/>
      <c r="S8" s="6079"/>
      <c r="T8" s="6079"/>
      <c r="U8" s="1736" t="s">
        <v>138</v>
      </c>
      <c r="V8" s="1736" t="s">
        <v>139</v>
      </c>
      <c r="W8" s="6079"/>
      <c r="X8" s="6079"/>
      <c r="Y8" s="6079"/>
      <c r="Z8" s="1736" t="s">
        <v>138</v>
      </c>
      <c r="AA8" s="1736" t="s">
        <v>139</v>
      </c>
      <c r="AB8" s="6079"/>
      <c r="AC8" s="6079"/>
      <c r="AD8" s="6079"/>
      <c r="AE8" s="1736" t="s">
        <v>138</v>
      </c>
      <c r="AF8" s="1736" t="s">
        <v>139</v>
      </c>
      <c r="AG8" s="6079"/>
      <c r="AH8" s="6079"/>
      <c r="AI8" s="6079"/>
      <c r="AJ8" s="1736" t="s">
        <v>138</v>
      </c>
      <c r="AK8" s="1736" t="s">
        <v>139</v>
      </c>
      <c r="AL8" s="6079"/>
      <c r="AM8" s="6079"/>
      <c r="AN8" s="6079"/>
      <c r="AO8" s="1736" t="s">
        <v>138</v>
      </c>
      <c r="AP8" s="1736" t="s">
        <v>139</v>
      </c>
      <c r="AQ8" s="6079"/>
      <c r="AR8" s="6079"/>
      <c r="AS8" s="6079"/>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069" t="s">
        <v>1430</v>
      </c>
      <c r="I67" s="6069"/>
      <c r="J67" s="6069"/>
      <c r="K67" s="6069"/>
      <c r="L67" s="6069"/>
      <c r="M67" s="6069" t="s">
        <v>1431</v>
      </c>
      <c r="N67" s="6069"/>
      <c r="O67" s="6069"/>
      <c r="P67" s="6069"/>
      <c r="Q67" s="6069"/>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082" t="s">
        <v>1438</v>
      </c>
      <c r="B1" s="6082"/>
      <c r="C1" s="6082"/>
      <c r="D1" s="6082"/>
      <c r="E1" s="6082"/>
      <c r="F1" s="6082"/>
      <c r="G1" s="6082"/>
      <c r="H1" s="6082"/>
      <c r="I1" s="6082"/>
      <c r="J1" s="6082"/>
      <c r="K1" s="6082"/>
      <c r="L1" s="49"/>
      <c r="M1" s="49"/>
      <c r="N1" s="49"/>
      <c r="O1" s="49"/>
      <c r="P1" s="49"/>
      <c r="Q1" s="49"/>
      <c r="R1" s="49"/>
      <c r="S1" s="49"/>
      <c r="T1" s="49"/>
    </row>
    <row r="2" spans="1:29">
      <c r="A2" s="6083" t="s">
        <v>232</v>
      </c>
      <c r="B2" s="6083"/>
      <c r="C2" s="6083"/>
      <c r="D2" s="6083"/>
      <c r="E2" s="6083"/>
      <c r="F2" s="6083"/>
      <c r="G2" s="6083"/>
      <c r="H2" s="6083"/>
      <c r="I2" s="6083"/>
      <c r="J2" s="6083"/>
      <c r="K2" s="6083"/>
      <c r="L2" s="1822"/>
      <c r="M2" s="1822"/>
      <c r="N2" s="1822"/>
      <c r="O2" s="1822"/>
      <c r="P2" s="1822"/>
      <c r="Q2" s="1822"/>
      <c r="R2" s="1822"/>
      <c r="S2" s="1822"/>
      <c r="T2" s="1822"/>
    </row>
    <row r="3" spans="1:29">
      <c r="A3" s="6084"/>
      <c r="B3" s="6084"/>
      <c r="C3" s="6084"/>
      <c r="D3" s="6084"/>
      <c r="E3" s="6084"/>
      <c r="F3" s="6084"/>
      <c r="G3" s="6084"/>
      <c r="H3" s="6084"/>
      <c r="I3" s="6084"/>
      <c r="J3" s="6084"/>
      <c r="K3" s="6084"/>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085" t="s">
        <v>200</v>
      </c>
      <c r="B6" s="6087" t="s">
        <v>201</v>
      </c>
      <c r="C6" s="6080" t="s">
        <v>219</v>
      </c>
      <c r="D6" s="6080"/>
      <c r="E6" s="6080"/>
      <c r="F6" s="6080" t="s">
        <v>223</v>
      </c>
      <c r="G6" s="6080"/>
      <c r="H6" s="6080"/>
      <c r="I6" s="6080" t="s">
        <v>224</v>
      </c>
      <c r="J6" s="6080"/>
      <c r="K6" s="6080"/>
      <c r="L6" s="6080" t="s">
        <v>225</v>
      </c>
      <c r="M6" s="6080"/>
      <c r="N6" s="6080"/>
      <c r="O6" s="6080" t="s">
        <v>226</v>
      </c>
      <c r="P6" s="6080"/>
      <c r="Q6" s="6080"/>
      <c r="R6" s="6227" t="s">
        <v>1439</v>
      </c>
      <c r="S6" s="6228"/>
      <c r="T6" s="6229"/>
      <c r="U6" s="6230" t="s">
        <v>227</v>
      </c>
      <c r="V6" s="6080"/>
      <c r="W6" s="6080"/>
      <c r="X6" s="6080" t="s">
        <v>228</v>
      </c>
      <c r="Y6" s="6080"/>
      <c r="Z6" s="6080"/>
      <c r="AA6" s="6080" t="s">
        <v>229</v>
      </c>
      <c r="AB6" s="6080"/>
      <c r="AC6" s="6081"/>
    </row>
    <row r="7" spans="1:29">
      <c r="A7" s="6086"/>
      <c r="B7" s="6088"/>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082" t="s">
        <v>304</v>
      </c>
      <c r="G69" s="6082"/>
      <c r="H69" s="6082"/>
      <c r="I69" s="6082" t="s">
        <v>297</v>
      </c>
      <c r="J69" s="6082"/>
      <c r="K69" s="6082"/>
      <c r="L69" s="6082" t="s">
        <v>299</v>
      </c>
      <c r="M69" s="6082"/>
      <c r="N69" s="6082"/>
      <c r="O69" s="6082" t="s">
        <v>300</v>
      </c>
      <c r="P69" s="6082"/>
      <c r="Q69" s="6082"/>
      <c r="R69" s="319"/>
      <c r="S69" s="319"/>
      <c r="T69" s="319"/>
      <c r="U69" s="6082" t="s">
        <v>301</v>
      </c>
      <c r="V69" s="6082"/>
      <c r="W69" s="6082"/>
      <c r="X69" s="6082" t="s">
        <v>302</v>
      </c>
      <c r="Y69" s="6082"/>
      <c r="Z69" s="6082"/>
      <c r="AA69" s="6082" t="s">
        <v>303</v>
      </c>
      <c r="AB69" s="6082"/>
      <c r="AC69" s="6082"/>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069" t="str">
        <f>'Phụ lục số XI năm -CĐC'!A1:K1</f>
        <v>CÂN ĐỐI NGÂN SÁCH ĐỊA PHƯƠNG NĂM 2024 - 2025; KẾ HOẠCH 03  NĂM 2025 - 2027</v>
      </c>
      <c r="B1" s="6069"/>
      <c r="C1" s="6069"/>
      <c r="D1" s="6069"/>
      <c r="E1" s="6069"/>
      <c r="F1" s="6069"/>
      <c r="G1" s="6069"/>
      <c r="H1" s="6069"/>
      <c r="I1" s="6069"/>
      <c r="J1" s="6069"/>
      <c r="K1" s="6069"/>
      <c r="L1" s="31"/>
      <c r="M1" s="31"/>
      <c r="N1" s="31"/>
      <c r="O1" s="31"/>
      <c r="P1" s="31"/>
      <c r="Q1" s="31"/>
      <c r="R1" s="31"/>
      <c r="S1" s="31"/>
      <c r="T1" s="31"/>
    </row>
    <row r="2" spans="1:29" ht="14.4">
      <c r="A2" s="6095" t="s">
        <v>231</v>
      </c>
      <c r="B2" s="6095"/>
      <c r="C2" s="6095"/>
      <c r="D2" s="6095"/>
      <c r="E2" s="6095"/>
      <c r="F2" s="6095"/>
      <c r="G2" s="6095"/>
      <c r="H2" s="6095"/>
      <c r="I2" s="6095"/>
      <c r="J2" s="6095"/>
      <c r="K2" s="6095"/>
      <c r="L2" s="1844"/>
      <c r="M2" s="1844"/>
      <c r="N2" s="1844"/>
      <c r="O2" s="1844"/>
      <c r="P2" s="1844"/>
      <c r="Q2" s="1844"/>
      <c r="R2" s="1844"/>
      <c r="S2" s="1844"/>
      <c r="T2" s="1844"/>
    </row>
    <row r="3" spans="1:29">
      <c r="A3" s="6096"/>
      <c r="B3" s="6096"/>
      <c r="C3" s="6096"/>
      <c r="D3" s="6096"/>
      <c r="E3" s="6096"/>
      <c r="F3" s="6096"/>
      <c r="G3" s="6096"/>
      <c r="H3" s="6096"/>
      <c r="I3" s="6096"/>
      <c r="J3" s="6096"/>
      <c r="K3" s="6096"/>
    </row>
    <row r="5" spans="1:29" ht="14.4" thickBot="1">
      <c r="I5" s="32"/>
      <c r="L5" s="32"/>
      <c r="O5" s="32"/>
      <c r="S5" s="32"/>
      <c r="T5" s="32"/>
      <c r="U5" s="32">
        <f>+U10-U33</f>
        <v>-236867.23736638576</v>
      </c>
      <c r="X5" s="32">
        <f>+X10-X33</f>
        <v>95129.553009264171</v>
      </c>
      <c r="AA5" s="32">
        <f>+AA10-AA33</f>
        <v>90736.159677028656</v>
      </c>
    </row>
    <row r="6" spans="1:29" ht="14.4" thickTop="1">
      <c r="A6" s="6231" t="s">
        <v>200</v>
      </c>
      <c r="B6" s="6233" t="s">
        <v>201</v>
      </c>
      <c r="C6" s="6235" t="s">
        <v>219</v>
      </c>
      <c r="D6" s="6235"/>
      <c r="E6" s="6235"/>
      <c r="F6" s="6235" t="s">
        <v>223</v>
      </c>
      <c r="G6" s="6235"/>
      <c r="H6" s="6235"/>
      <c r="I6" s="6236" t="s">
        <v>224</v>
      </c>
      <c r="J6" s="6236"/>
      <c r="K6" s="6236"/>
      <c r="L6" s="6236" t="s">
        <v>225</v>
      </c>
      <c r="M6" s="6236"/>
      <c r="N6" s="6236"/>
      <c r="O6" s="6236" t="s">
        <v>226</v>
      </c>
      <c r="P6" s="6236"/>
      <c r="Q6" s="6236"/>
      <c r="R6" s="6237" t="s">
        <v>1439</v>
      </c>
      <c r="S6" s="6238"/>
      <c r="T6" s="6239"/>
      <c r="U6" s="6240" t="s">
        <v>227</v>
      </c>
      <c r="V6" s="6236"/>
      <c r="W6" s="6236"/>
      <c r="X6" s="6236" t="s">
        <v>228</v>
      </c>
      <c r="Y6" s="6236"/>
      <c r="Z6" s="6236"/>
      <c r="AA6" s="6236" t="s">
        <v>229</v>
      </c>
      <c r="AB6" s="6236"/>
      <c r="AC6" s="6241"/>
    </row>
    <row r="7" spans="1:29">
      <c r="A7" s="6232"/>
      <c r="B7" s="6234"/>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092" t="s">
        <v>746</v>
      </c>
      <c r="J69" s="6092"/>
      <c r="K69" s="6092"/>
      <c r="L69" s="6089" t="s">
        <v>747</v>
      </c>
      <c r="M69" s="6090"/>
      <c r="N69" s="6091"/>
      <c r="O69" s="6089" t="s">
        <v>748</v>
      </c>
      <c r="P69" s="6090"/>
      <c r="Q69" s="6091"/>
      <c r="R69" s="1921"/>
      <c r="S69" s="1921"/>
      <c r="T69" s="1921"/>
      <c r="U69" s="6089" t="s">
        <v>749</v>
      </c>
      <c r="V69" s="6090"/>
      <c r="W69" s="6091"/>
      <c r="X69" s="6089" t="s">
        <v>750</v>
      </c>
      <c r="Y69" s="6090"/>
      <c r="Z69" s="6091"/>
      <c r="AA69" s="6089" t="s">
        <v>751</v>
      </c>
      <c r="AB69" s="6090"/>
      <c r="AC69" s="6091"/>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242" t="s">
        <v>1453</v>
      </c>
      <c r="B1" s="6243"/>
      <c r="C1" s="6243"/>
      <c r="D1" s="6243"/>
      <c r="E1" s="6243"/>
    </row>
    <row r="3" spans="1:7" ht="14.4">
      <c r="D3" s="6244" t="s">
        <v>964</v>
      </c>
      <c r="E3" s="6244"/>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47" t="s">
        <v>939</v>
      </c>
      <c r="B1" s="6047"/>
      <c r="C1" s="6047"/>
      <c r="D1" s="6047"/>
      <c r="E1" s="6047"/>
      <c r="F1" s="6047"/>
      <c r="G1" s="6047"/>
      <c r="H1" s="6047"/>
      <c r="I1" s="6047"/>
      <c r="J1" s="6047"/>
      <c r="K1" s="6047"/>
      <c r="L1" s="382"/>
      <c r="M1" s="382"/>
      <c r="N1" s="382"/>
      <c r="O1" s="382"/>
      <c r="P1" s="382"/>
      <c r="Q1" s="382"/>
      <c r="R1" s="382"/>
      <c r="S1" s="382"/>
      <c r="T1" s="382"/>
      <c r="U1" s="382"/>
      <c r="V1" s="382"/>
      <c r="W1" s="382"/>
    </row>
    <row r="2" spans="1:48">
      <c r="A2" s="382"/>
      <c r="B2" s="382"/>
      <c r="C2" s="382"/>
      <c r="Y2" s="381">
        <v>82290</v>
      </c>
      <c r="AA2" s="6045" t="s">
        <v>478</v>
      </c>
      <c r="AB2" s="6045"/>
      <c r="AC2" s="6045"/>
      <c r="AD2" s="6045"/>
      <c r="AE2" s="6045"/>
      <c r="AF2" s="6045"/>
      <c r="AG2" s="6045"/>
      <c r="AH2" s="6045"/>
      <c r="AI2" s="6045"/>
      <c r="AJ2" s="6045"/>
      <c r="AK2" s="6045"/>
      <c r="AL2" s="6045"/>
      <c r="AM2" s="6045"/>
      <c r="AN2" s="6045"/>
      <c r="AO2" s="6045"/>
      <c r="AP2" s="6045"/>
      <c r="AQ2" s="6045"/>
      <c r="AR2" s="6045"/>
    </row>
    <row r="3" spans="1:48" ht="36.75" customHeight="1">
      <c r="A3" s="6247" t="s">
        <v>247</v>
      </c>
      <c r="B3" s="6245" t="s">
        <v>137</v>
      </c>
      <c r="C3" s="6245" t="s">
        <v>479</v>
      </c>
      <c r="D3" s="6245" t="s">
        <v>938</v>
      </c>
      <c r="E3" s="1040"/>
      <c r="F3" s="1041"/>
      <c r="G3" s="1041"/>
      <c r="H3" s="6245" t="s">
        <v>940</v>
      </c>
      <c r="I3" s="6245" t="s">
        <v>407</v>
      </c>
      <c r="J3" s="6245" t="s">
        <v>408</v>
      </c>
      <c r="K3" s="6046" t="s">
        <v>483</v>
      </c>
      <c r="L3" s="431"/>
      <c r="M3" s="431"/>
      <c r="N3" s="431"/>
      <c r="O3" s="431"/>
      <c r="P3" s="431"/>
      <c r="Q3" s="431"/>
      <c r="R3" s="431"/>
      <c r="S3" s="431"/>
      <c r="T3" s="431"/>
      <c r="U3" s="431"/>
      <c r="V3" s="431"/>
      <c r="W3" s="431"/>
      <c r="Y3" s="6043" t="s">
        <v>484</v>
      </c>
      <c r="Z3" s="6044"/>
      <c r="AA3" s="6048" t="s">
        <v>322</v>
      </c>
      <c r="AB3" s="6049"/>
      <c r="AC3" s="6048" t="s">
        <v>323</v>
      </c>
      <c r="AD3" s="6049"/>
      <c r="AE3" s="6048" t="s">
        <v>324</v>
      </c>
      <c r="AF3" s="6049"/>
      <c r="AG3" s="6041" t="s">
        <v>290</v>
      </c>
      <c r="AH3" s="6042"/>
      <c r="AI3" s="6041" t="s">
        <v>411</v>
      </c>
      <c r="AJ3" s="6042"/>
      <c r="AK3" s="6041" t="s">
        <v>491</v>
      </c>
      <c r="AL3" s="6042"/>
      <c r="AM3" s="6041" t="s">
        <v>412</v>
      </c>
      <c r="AN3" s="6042"/>
      <c r="AO3" s="6041" t="s">
        <v>487</v>
      </c>
      <c r="AP3" s="6042"/>
      <c r="AQ3" s="6041" t="s">
        <v>488</v>
      </c>
      <c r="AR3" s="6042"/>
      <c r="AS3" s="6041" t="s">
        <v>489</v>
      </c>
      <c r="AT3" s="6042"/>
      <c r="AU3" s="6041" t="s">
        <v>490</v>
      </c>
      <c r="AV3" s="6042"/>
    </row>
    <row r="4" spans="1:48" ht="52.2">
      <c r="A4" s="6248"/>
      <c r="B4" s="6246"/>
      <c r="C4" s="6246"/>
      <c r="D4" s="6246"/>
      <c r="E4" s="1042" t="s">
        <v>482</v>
      </c>
      <c r="F4" s="1042" t="s">
        <v>85</v>
      </c>
      <c r="G4" s="1042" t="s">
        <v>86</v>
      </c>
      <c r="H4" s="6246"/>
      <c r="I4" s="6246"/>
      <c r="J4" s="6246"/>
      <c r="K4" s="6046"/>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249" t="s">
        <v>1443</v>
      </c>
      <c r="B1" s="6250"/>
      <c r="C1" s="6250"/>
      <c r="D1" s="6250"/>
      <c r="E1" s="6250"/>
      <c r="F1" s="6250"/>
      <c r="G1" s="6250"/>
      <c r="H1" s="6250"/>
      <c r="I1" s="6250"/>
      <c r="J1" s="6250"/>
    </row>
    <row r="2" spans="1:175">
      <c r="A2" s="6249"/>
      <c r="B2" s="6249"/>
      <c r="C2" s="6249"/>
      <c r="D2" s="6249"/>
      <c r="E2" s="6249"/>
      <c r="F2" s="6249"/>
      <c r="G2" s="6249"/>
      <c r="H2" s="6249"/>
      <c r="I2" s="6249"/>
      <c r="J2" s="6249"/>
    </row>
    <row r="3" spans="1:175">
      <c r="I3" s="6253" t="s">
        <v>964</v>
      </c>
      <c r="J3" s="6253"/>
    </row>
    <row r="4" spans="1:175">
      <c r="A4" s="6255" t="s">
        <v>965</v>
      </c>
      <c r="B4" s="6256" t="s">
        <v>963</v>
      </c>
      <c r="C4" s="6256" t="s">
        <v>966</v>
      </c>
      <c r="D4" s="6256" t="s">
        <v>967</v>
      </c>
      <c r="E4" s="6256" t="s">
        <v>974</v>
      </c>
      <c r="F4" s="6257" t="s">
        <v>975</v>
      </c>
      <c r="G4" s="6257"/>
      <c r="H4" s="6257"/>
      <c r="I4" s="6257"/>
      <c r="J4" s="6257" t="s">
        <v>979</v>
      </c>
    </row>
    <row r="5" spans="1:175">
      <c r="A5" s="6255"/>
      <c r="B5" s="6256"/>
      <c r="C5" s="6256"/>
      <c r="D5" s="6256"/>
      <c r="E5" s="6256"/>
      <c r="F5" s="6259" t="s">
        <v>968</v>
      </c>
      <c r="G5" s="6259" t="s">
        <v>969</v>
      </c>
      <c r="H5" s="6251" t="s">
        <v>978</v>
      </c>
      <c r="I5" s="6257" t="s">
        <v>970</v>
      </c>
      <c r="J5" s="6257"/>
    </row>
    <row r="6" spans="1:175" ht="139.5" customHeight="1">
      <c r="A6" s="6255"/>
      <c r="B6" s="6256"/>
      <c r="C6" s="6256"/>
      <c r="D6" s="6256"/>
      <c r="E6" s="6256"/>
      <c r="F6" s="6259"/>
      <c r="G6" s="6259"/>
      <c r="H6" s="6252"/>
      <c r="I6" s="6257"/>
      <c r="J6" s="6257"/>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258"/>
      <c r="C17" s="6258"/>
      <c r="D17" s="6258"/>
      <c r="E17" s="6258"/>
      <c r="F17" s="6258"/>
      <c r="G17" s="6258"/>
      <c r="H17" s="6258"/>
      <c r="I17" s="6258"/>
      <c r="J17" s="6258"/>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254" t="s">
        <v>971</v>
      </c>
      <c r="G19" s="6254"/>
      <c r="H19" s="6254"/>
      <c r="I19" s="6254"/>
      <c r="J19" s="6254"/>
    </row>
    <row r="20" spans="2:175" hidden="1">
      <c r="B20" s="1075"/>
      <c r="C20" s="1076"/>
      <c r="D20" s="1076"/>
      <c r="E20" s="1076"/>
      <c r="F20" s="6261" t="s">
        <v>972</v>
      </c>
      <c r="G20" s="6261"/>
      <c r="H20" s="6261"/>
      <c r="I20" s="6261"/>
      <c r="J20" s="6261"/>
    </row>
    <row r="21" spans="2:175" hidden="1">
      <c r="F21" s="6082" t="s">
        <v>629</v>
      </c>
      <c r="G21" s="6082"/>
      <c r="H21" s="6082"/>
      <c r="I21" s="6082"/>
      <c r="J21" s="6082"/>
    </row>
    <row r="22" spans="2:175" hidden="1">
      <c r="F22" s="6260" t="s">
        <v>630</v>
      </c>
      <c r="G22" s="6260"/>
      <c r="H22" s="6260"/>
      <c r="I22" s="6260"/>
      <c r="J22" s="6260"/>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07" t="s">
        <v>247</v>
      </c>
      <c r="B6" s="6201" t="s">
        <v>248</v>
      </c>
      <c r="C6" s="6200" t="s">
        <v>322</v>
      </c>
      <c r="D6" s="6200"/>
      <c r="E6" s="6200" t="s">
        <v>323</v>
      </c>
      <c r="F6" s="6200"/>
      <c r="G6" s="6200" t="s">
        <v>324</v>
      </c>
      <c r="H6" s="6200"/>
      <c r="I6" s="6200" t="s">
        <v>290</v>
      </c>
      <c r="J6" s="6200"/>
      <c r="K6" s="6200" t="s">
        <v>325</v>
      </c>
      <c r="L6" s="6200"/>
      <c r="M6" s="6200" t="s">
        <v>326</v>
      </c>
      <c r="N6" s="6200"/>
      <c r="O6" s="6201" t="s">
        <v>358</v>
      </c>
      <c r="P6" s="6201"/>
      <c r="Q6" s="6201" t="s">
        <v>359</v>
      </c>
      <c r="R6" s="6201"/>
      <c r="S6" s="6201" t="s">
        <v>360</v>
      </c>
      <c r="T6" s="6201"/>
      <c r="U6" s="6201" t="s">
        <v>361</v>
      </c>
      <c r="V6" s="6265"/>
      <c r="W6" s="6262" t="s">
        <v>364</v>
      </c>
      <c r="X6" s="6263"/>
      <c r="Y6" s="6264" t="s">
        <v>365</v>
      </c>
      <c r="Z6" s="6263"/>
      <c r="AA6" s="6264" t="s">
        <v>366</v>
      </c>
      <c r="AB6" s="6263"/>
    </row>
    <row r="7" spans="1:28" ht="34.799999999999997">
      <c r="A7" s="6208"/>
      <c r="B7" s="6209"/>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271" t="s">
        <v>2199</v>
      </c>
      <c r="B1" s="6272"/>
      <c r="C1" s="6272"/>
      <c r="D1" s="6272"/>
      <c r="E1" s="6272"/>
      <c r="F1" s="6272"/>
      <c r="G1" s="6272"/>
      <c r="H1" s="6272"/>
      <c r="I1" s="6272"/>
    </row>
    <row r="2" spans="1:9" s="3906" customFormat="1">
      <c r="A2" s="6273" t="s">
        <v>2200</v>
      </c>
      <c r="B2" s="6273"/>
      <c r="C2" s="6273"/>
      <c r="D2" s="6273"/>
      <c r="E2" s="6273"/>
      <c r="F2" s="6273"/>
      <c r="G2" s="6273"/>
      <c r="H2" s="6273"/>
      <c r="I2" s="6273"/>
    </row>
    <row r="3" spans="1:9">
      <c r="A3" s="3907"/>
      <c r="B3" s="3907"/>
      <c r="C3" s="3907"/>
      <c r="D3" s="3907"/>
      <c r="E3" s="3907"/>
      <c r="F3" s="3907"/>
      <c r="G3" s="3907"/>
      <c r="H3" s="3907"/>
      <c r="I3" s="3907"/>
    </row>
    <row r="4" spans="1:9" s="3909" customFormat="1" ht="15" thickBot="1">
      <c r="A4" s="3908"/>
      <c r="B4" s="3908"/>
      <c r="C4" s="3908"/>
      <c r="D4" s="3908"/>
      <c r="E4" s="3908"/>
      <c r="F4" s="3908"/>
      <c r="G4" s="6274" t="s">
        <v>2201</v>
      </c>
      <c r="H4" s="6274"/>
      <c r="I4" s="6274"/>
    </row>
    <row r="5" spans="1:9" s="3910" customFormat="1">
      <c r="A5" s="6275" t="s">
        <v>247</v>
      </c>
      <c r="B5" s="6277" t="s">
        <v>1123</v>
      </c>
      <c r="C5" s="6277" t="s">
        <v>479</v>
      </c>
      <c r="D5" s="6277" t="s">
        <v>2202</v>
      </c>
      <c r="E5" s="6278" t="s">
        <v>2203</v>
      </c>
      <c r="F5" s="6278"/>
      <c r="G5" s="6278"/>
      <c r="H5" s="6277" t="s">
        <v>2204</v>
      </c>
      <c r="I5" s="6279"/>
    </row>
    <row r="6" spans="1:9" s="3910" customFormat="1">
      <c r="A6" s="6276"/>
      <c r="B6" s="6270"/>
      <c r="C6" s="6270"/>
      <c r="D6" s="6270"/>
      <c r="E6" s="6269" t="s">
        <v>2205</v>
      </c>
      <c r="F6" s="6269" t="s">
        <v>2206</v>
      </c>
      <c r="G6" s="6269" t="s">
        <v>1129</v>
      </c>
      <c r="H6" s="6270" t="s">
        <v>2207</v>
      </c>
      <c r="I6" s="6280" t="s">
        <v>2208</v>
      </c>
    </row>
    <row r="7" spans="1:9" s="3910" customFormat="1">
      <c r="A7" s="6276"/>
      <c r="B7" s="6270"/>
      <c r="C7" s="6270"/>
      <c r="D7" s="6270"/>
      <c r="E7" s="6270"/>
      <c r="F7" s="6270"/>
      <c r="G7" s="6270"/>
      <c r="H7" s="6270"/>
      <c r="I7" s="6280"/>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2209</v>
      </c>
      <c r="I8" s="3914" t="s">
        <v>2210</v>
      </c>
    </row>
    <row r="9" spans="1:9" ht="16.2" thickBot="1">
      <c r="A9" s="3916"/>
      <c r="B9" s="3917" t="s">
        <v>2211</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2212</v>
      </c>
      <c r="C10" s="3923"/>
      <c r="D10" s="3924"/>
      <c r="E10" s="3924"/>
      <c r="F10" s="3924"/>
      <c r="G10" s="3924">
        <f>SUM(G13,G43,G58,G108,G115,G121,G127,G137,G146,G155,G156,G172,G187)</f>
        <v>8651414.4090575669</v>
      </c>
      <c r="H10" s="3924"/>
      <c r="I10" s="3920">
        <f>G10/D9%</f>
        <v>100.66825091045347</v>
      </c>
    </row>
    <row r="11" spans="1:9">
      <c r="A11" s="3921"/>
      <c r="B11" s="3925" t="s">
        <v>2213</v>
      </c>
      <c r="C11" s="3923"/>
      <c r="D11" s="3924"/>
      <c r="E11" s="3924"/>
      <c r="F11" s="3924"/>
      <c r="G11" s="3926">
        <f>G9-G10</f>
        <v>0</v>
      </c>
      <c r="H11" s="3924"/>
      <c r="I11" s="3927"/>
    </row>
    <row r="12" spans="1:9">
      <c r="A12" s="3928"/>
      <c r="B12" s="3929" t="s">
        <v>2214</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2215</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2216</v>
      </c>
      <c r="C14" s="3937"/>
      <c r="D14" s="3931"/>
      <c r="E14" s="3931"/>
      <c r="F14" s="3931"/>
      <c r="G14" s="3931">
        <f>SUM(G15,G20,G30)</f>
        <v>3896536.4327301839</v>
      </c>
      <c r="H14" s="3931">
        <f>G14-D14</f>
        <v>3896536.4327301839</v>
      </c>
      <c r="I14" s="3932">
        <f>IF(D14=0,0,G14/D14*100)</f>
        <v>0</v>
      </c>
    </row>
    <row r="15" spans="1:9" s="3906" customFormat="1">
      <c r="A15" s="3938" t="s">
        <v>99</v>
      </c>
      <c r="B15" s="3939" t="s">
        <v>2217</v>
      </c>
      <c r="C15" s="3935"/>
      <c r="D15" s="3940"/>
      <c r="E15" s="3940">
        <f>SUM(E16:E18)</f>
        <v>404112</v>
      </c>
      <c r="F15" s="3935"/>
      <c r="G15" s="3940">
        <f>SUM(G16:G19)</f>
        <v>1597559.4802050001</v>
      </c>
      <c r="H15" s="3940"/>
      <c r="I15" s="3941"/>
    </row>
    <row r="16" spans="1:9">
      <c r="A16" s="3942" t="s">
        <v>29</v>
      </c>
      <c r="B16" s="3943" t="s">
        <v>2218</v>
      </c>
      <c r="C16" s="3935" t="s">
        <v>519</v>
      </c>
      <c r="D16" s="3944"/>
      <c r="E16" s="3945">
        <v>76515</v>
      </c>
      <c r="F16" s="3945">
        <v>3007400</v>
      </c>
      <c r="G16" s="3945">
        <f>E16*F16*(100%+$G$193)/1000000</f>
        <v>264627.89264999999</v>
      </c>
      <c r="H16" s="3944"/>
      <c r="I16" s="3946"/>
    </row>
    <row r="17" spans="1:9">
      <c r="A17" s="3942" t="s">
        <v>29</v>
      </c>
      <c r="B17" s="3943" t="s">
        <v>2219</v>
      </c>
      <c r="C17" s="3935" t="s">
        <v>519</v>
      </c>
      <c r="D17" s="3944"/>
      <c r="E17" s="3945">
        <v>327597</v>
      </c>
      <c r="F17" s="3945">
        <v>3538100</v>
      </c>
      <c r="G17" s="3945">
        <f>E17*F17*(100%+$G$193)/1000000</f>
        <v>1332931.5875550001</v>
      </c>
      <c r="H17" s="3944"/>
      <c r="I17" s="3946"/>
    </row>
    <row r="18" spans="1:9">
      <c r="A18" s="3942" t="s">
        <v>29</v>
      </c>
      <c r="B18" s="3943" t="s">
        <v>2220</v>
      </c>
      <c r="C18" s="3935" t="s">
        <v>519</v>
      </c>
      <c r="D18" s="3944"/>
      <c r="E18" s="3945"/>
      <c r="F18" s="3945">
        <v>4953300</v>
      </c>
      <c r="G18" s="3945">
        <f>E18*F18*(100%+$G$193)/1000000</f>
        <v>0</v>
      </c>
      <c r="H18" s="3944"/>
      <c r="I18" s="3946"/>
    </row>
    <row r="19" spans="1:9">
      <c r="A19" s="3942" t="s">
        <v>29</v>
      </c>
      <c r="B19" s="3943" t="s">
        <v>2221</v>
      </c>
      <c r="C19" s="3935" t="s">
        <v>519</v>
      </c>
      <c r="D19" s="3944"/>
      <c r="E19" s="3945">
        <v>0</v>
      </c>
      <c r="F19" s="3945">
        <v>7076200</v>
      </c>
      <c r="G19" s="3945">
        <f>E19*F19*(100%+$G$193)/1000000</f>
        <v>0</v>
      </c>
      <c r="H19" s="3944"/>
      <c r="I19" s="3946"/>
    </row>
    <row r="20" spans="1:9" s="3906" customFormat="1">
      <c r="A20" s="3938" t="s">
        <v>101</v>
      </c>
      <c r="B20" s="3939" t="s">
        <v>2222</v>
      </c>
      <c r="C20" s="3935"/>
      <c r="D20" s="3940"/>
      <c r="E20" s="3944"/>
      <c r="F20" s="3940"/>
      <c r="G20" s="3940">
        <f>IF(G29&gt;81%,(G21)/81%-G15,0)</f>
        <v>2229098.1125251837</v>
      </c>
      <c r="H20" s="3940"/>
      <c r="I20" s="3941"/>
    </row>
    <row r="21" spans="1:9" s="3906" customFormat="1">
      <c r="A21" s="3938" t="s">
        <v>2223</v>
      </c>
      <c r="B21" s="3939" t="s">
        <v>2224</v>
      </c>
      <c r="C21" s="3935"/>
      <c r="D21" s="3940"/>
      <c r="E21" s="3944"/>
      <c r="F21" s="3940"/>
      <c r="G21" s="3940">
        <f>SUM(G26,G27,G28)</f>
        <v>3099592.650111449</v>
      </c>
      <c r="H21" s="3940"/>
      <c r="I21" s="3941"/>
    </row>
    <row r="22" spans="1:9" s="3906" customFormat="1">
      <c r="A22" s="3938" t="s">
        <v>29</v>
      </c>
      <c r="B22" s="3943" t="s">
        <v>2225</v>
      </c>
      <c r="C22" s="3935" t="s">
        <v>437</v>
      </c>
      <c r="D22" s="3940"/>
      <c r="E22" s="3944">
        <v>22620</v>
      </c>
      <c r="F22" s="3940"/>
      <c r="G22" s="3944"/>
      <c r="H22" s="3940"/>
      <c r="I22" s="3941"/>
    </row>
    <row r="23" spans="1:9" s="3906" customFormat="1">
      <c r="A23" s="3938" t="s">
        <v>29</v>
      </c>
      <c r="B23" s="3943" t="s">
        <v>2226</v>
      </c>
      <c r="C23" s="3935" t="s">
        <v>437</v>
      </c>
      <c r="D23" s="3940"/>
      <c r="E23" s="3944">
        <v>22254</v>
      </c>
      <c r="F23" s="3940"/>
      <c r="G23" s="3944"/>
      <c r="H23" s="3940"/>
      <c r="I23" s="3941"/>
    </row>
    <row r="24" spans="1:9" s="3906" customFormat="1">
      <c r="A24" s="3938" t="s">
        <v>29</v>
      </c>
      <c r="B24" s="3943" t="s">
        <v>2227</v>
      </c>
      <c r="C24" s="3935" t="s">
        <v>437</v>
      </c>
      <c r="D24" s="3940"/>
      <c r="E24" s="3944">
        <f>E22-E23</f>
        <v>366</v>
      </c>
      <c r="F24" s="3940"/>
      <c r="G24" s="3944"/>
      <c r="H24" s="3940"/>
      <c r="I24" s="3941"/>
    </row>
    <row r="25" spans="1:9" s="3906" customFormat="1">
      <c r="A25" s="3938" t="s">
        <v>29</v>
      </c>
      <c r="B25" s="3943" t="s">
        <v>2228</v>
      </c>
      <c r="C25" s="3935" t="s">
        <v>2229</v>
      </c>
      <c r="D25" s="3940"/>
      <c r="E25" s="3947">
        <v>2.34</v>
      </c>
      <c r="F25" s="3940"/>
      <c r="G25" s="3944"/>
      <c r="H25" s="3940"/>
      <c r="I25" s="3941"/>
    </row>
    <row r="26" spans="1:9" s="3906" customFormat="1">
      <c r="A26" s="3938" t="s">
        <v>29</v>
      </c>
      <c r="B26" s="3943" t="s">
        <v>2230</v>
      </c>
      <c r="C26" s="3935" t="s">
        <v>2229</v>
      </c>
      <c r="D26" s="3940"/>
      <c r="E26" s="3947">
        <v>3.96</v>
      </c>
      <c r="F26" s="3940"/>
      <c r="G26" s="3944">
        <f>$C$9*12*E26*E23+$C$9*12*E24*E25</f>
        <v>1591003.1664</v>
      </c>
      <c r="H26" s="3940"/>
      <c r="I26" s="3941"/>
    </row>
    <row r="27" spans="1:9" s="3906" customFormat="1">
      <c r="A27" s="3938" t="s">
        <v>29</v>
      </c>
      <c r="B27" s="3943" t="s">
        <v>2231</v>
      </c>
      <c r="C27" s="3935" t="s">
        <v>2229</v>
      </c>
      <c r="D27" s="3940"/>
      <c r="E27" s="3948">
        <v>2.58</v>
      </c>
      <c r="F27" s="3940"/>
      <c r="G27" s="3944">
        <f>E27/E26*G26</f>
        <v>1036562.6690181817</v>
      </c>
      <c r="H27" s="3940"/>
      <c r="I27" s="3941"/>
    </row>
    <row r="28" spans="1:9" s="3906" customFormat="1">
      <c r="A28" s="3938" t="s">
        <v>29</v>
      </c>
      <c r="B28" s="3943" t="s">
        <v>2232</v>
      </c>
      <c r="C28" s="3935" t="s">
        <v>2229</v>
      </c>
      <c r="D28" s="3940"/>
      <c r="E28" s="3948">
        <v>17.964414376629438</v>
      </c>
      <c r="F28" s="3940"/>
      <c r="G28" s="3944">
        <f>(G26+G27)*E28/100</f>
        <v>472026.81469326722</v>
      </c>
      <c r="H28" s="3940"/>
      <c r="I28" s="3941"/>
    </row>
    <row r="29" spans="1:9" s="3950" customFormat="1">
      <c r="A29" s="3938" t="s">
        <v>2233</v>
      </c>
      <c r="B29" s="3939" t="s">
        <v>2234</v>
      </c>
      <c r="C29" s="3935" t="s">
        <v>417</v>
      </c>
      <c r="D29" s="3944"/>
      <c r="E29" s="3944"/>
      <c r="F29" s="3944"/>
      <c r="G29" s="3949">
        <f>(G21)/G15</f>
        <v>1.9402048490324171</v>
      </c>
      <c r="H29" s="3944"/>
      <c r="I29" s="3946"/>
    </row>
    <row r="30" spans="1:9" s="3951" customFormat="1">
      <c r="A30" s="3938" t="s">
        <v>147</v>
      </c>
      <c r="B30" s="3939" t="s">
        <v>2235</v>
      </c>
      <c r="C30" s="3937"/>
      <c r="D30" s="3940"/>
      <c r="E30" s="3940"/>
      <c r="F30" s="3940"/>
      <c r="G30" s="3940">
        <f>SUM(G31,G34,G35,G36)</f>
        <v>69878.84</v>
      </c>
      <c r="H30" s="3940"/>
      <c r="I30" s="3941"/>
    </row>
    <row r="31" spans="1:9" s="3950" customFormat="1" ht="26.4">
      <c r="A31" s="3942" t="s">
        <v>2236</v>
      </c>
      <c r="B31" s="3943" t="s">
        <v>2237</v>
      </c>
      <c r="C31" s="3935"/>
      <c r="D31" s="3944"/>
      <c r="E31" s="3945"/>
      <c r="F31" s="3945"/>
      <c r="G31" s="3944">
        <f>SUM(G32:G33)</f>
        <v>21471.84</v>
      </c>
      <c r="H31" s="3944"/>
      <c r="I31" s="3946"/>
    </row>
    <row r="32" spans="1:9" s="3950" customFormat="1">
      <c r="A32" s="3942" t="s">
        <v>29</v>
      </c>
      <c r="B32" s="3943" t="s">
        <v>2238</v>
      </c>
      <c r="C32" s="3935" t="s">
        <v>437</v>
      </c>
      <c r="D32" s="3944"/>
      <c r="E32" s="3945">
        <v>14911</v>
      </c>
      <c r="F32" s="3945">
        <f>1.44*1000000</f>
        <v>1440000</v>
      </c>
      <c r="G32" s="3944">
        <f>E32*F32/1000000</f>
        <v>21471.84</v>
      </c>
      <c r="H32" s="3944"/>
      <c r="I32" s="3946"/>
    </row>
    <row r="33" spans="1:9" s="3950" customFormat="1">
      <c r="A33" s="3942" t="s">
        <v>29</v>
      </c>
      <c r="B33" s="3943" t="s">
        <v>2239</v>
      </c>
      <c r="C33" s="3935" t="s">
        <v>437</v>
      </c>
      <c r="D33" s="3944"/>
      <c r="E33" s="3945"/>
      <c r="F33" s="3945">
        <f>4.05*1000000</f>
        <v>4050000</v>
      </c>
      <c r="G33" s="3944"/>
      <c r="H33" s="3944"/>
      <c r="I33" s="3946"/>
    </row>
    <row r="34" spans="1:9" s="3950" customFormat="1" ht="39.6">
      <c r="A34" s="3942" t="s">
        <v>2240</v>
      </c>
      <c r="B34" s="3943" t="s">
        <v>2241</v>
      </c>
      <c r="C34" s="3935"/>
      <c r="D34" s="3944"/>
      <c r="E34" s="3945">
        <f>349</f>
        <v>349</v>
      </c>
      <c r="F34" s="3945">
        <f>11.728*1000000</f>
        <v>11728000</v>
      </c>
      <c r="G34" s="3944">
        <f>3989</f>
        <v>3989</v>
      </c>
      <c r="H34" s="3944"/>
      <c r="I34" s="3946"/>
    </row>
    <row r="35" spans="1:9" s="3950" customFormat="1" ht="26.4">
      <c r="A35" s="3942" t="s">
        <v>2242</v>
      </c>
      <c r="B35" s="3943" t="s">
        <v>2243</v>
      </c>
      <c r="C35" s="3935"/>
      <c r="D35" s="3944"/>
      <c r="E35" s="3945"/>
      <c r="F35" s="3945"/>
      <c r="G35" s="3944"/>
      <c r="H35" s="3944"/>
      <c r="I35" s="3946"/>
    </row>
    <row r="36" spans="1:9" s="3950" customFormat="1" ht="39.6">
      <c r="A36" s="3942" t="s">
        <v>2244</v>
      </c>
      <c r="B36" s="3943" t="s">
        <v>2245</v>
      </c>
      <c r="C36" s="3935"/>
      <c r="D36" s="3944"/>
      <c r="E36" s="3945">
        <v>107354</v>
      </c>
      <c r="F36" s="3945"/>
      <c r="G36" s="3944">
        <v>44418</v>
      </c>
      <c r="H36" s="3944"/>
      <c r="I36" s="3946"/>
    </row>
    <row r="37" spans="1:9" s="3952" customFormat="1">
      <c r="A37" s="3933" t="s">
        <v>1019</v>
      </c>
      <c r="B37" s="3934" t="s">
        <v>2246</v>
      </c>
      <c r="C37" s="3937"/>
      <c r="D37" s="3931"/>
      <c r="E37" s="3931"/>
      <c r="F37" s="3935"/>
      <c r="G37" s="3931">
        <f>SUM(G38)</f>
        <v>193720.87271999998</v>
      </c>
      <c r="H37" s="3931">
        <f>G37-D37</f>
        <v>193720.87271999998</v>
      </c>
      <c r="I37" s="3932">
        <f>IF(D37=0,0,G37/D37*100)</f>
        <v>0</v>
      </c>
    </row>
    <row r="38" spans="1:9" s="3936" customFormat="1">
      <c r="A38" s="3933"/>
      <c r="B38" s="3934" t="s">
        <v>2247</v>
      </c>
      <c r="C38" s="3930"/>
      <c r="D38" s="3931"/>
      <c r="E38" s="3931">
        <f>SUM(E39:E42)</f>
        <v>1196463</v>
      </c>
      <c r="F38" s="3930"/>
      <c r="G38" s="3931">
        <f>SUM(G39:G42)</f>
        <v>193720.87271999998</v>
      </c>
      <c r="H38" s="3931"/>
      <c r="I38" s="3932"/>
    </row>
    <row r="39" spans="1:9">
      <c r="A39" s="3942" t="s">
        <v>29</v>
      </c>
      <c r="B39" s="3943" t="s">
        <v>2218</v>
      </c>
      <c r="C39" s="3935" t="s">
        <v>519</v>
      </c>
      <c r="D39" s="3944"/>
      <c r="E39" s="3945">
        <f>E45-E16</f>
        <v>226539</v>
      </c>
      <c r="F39" s="3945">
        <v>129200</v>
      </c>
      <c r="G39" s="3945">
        <f>E39*F39*(100%+$G$193)/1000000</f>
        <v>33659.164619999996</v>
      </c>
      <c r="H39" s="3944"/>
      <c r="I39" s="3946"/>
    </row>
    <row r="40" spans="1:9">
      <c r="A40" s="3942" t="s">
        <v>29</v>
      </c>
      <c r="B40" s="3943" t="s">
        <v>2219</v>
      </c>
      <c r="C40" s="3935" t="s">
        <v>519</v>
      </c>
      <c r="D40" s="3944"/>
      <c r="E40" s="3945">
        <f>E46-E17</f>
        <v>969924</v>
      </c>
      <c r="F40" s="3945">
        <v>143500</v>
      </c>
      <c r="G40" s="3945">
        <f>E40*F40*(100%+$G$193)/1000000</f>
        <v>160061.70809999999</v>
      </c>
      <c r="H40" s="3944"/>
      <c r="I40" s="3946"/>
    </row>
    <row r="41" spans="1:9">
      <c r="A41" s="3942" t="s">
        <v>29</v>
      </c>
      <c r="B41" s="3943" t="s">
        <v>2220</v>
      </c>
      <c r="C41" s="3935" t="s">
        <v>519</v>
      </c>
      <c r="D41" s="3944"/>
      <c r="E41" s="3945">
        <f>E47-E18</f>
        <v>0</v>
      </c>
      <c r="F41" s="3945">
        <v>200900</v>
      </c>
      <c r="G41" s="3945">
        <f>E41*F41*(100%+$G$193)/1000000</f>
        <v>0</v>
      </c>
      <c r="H41" s="3944"/>
      <c r="I41" s="3946"/>
    </row>
    <row r="42" spans="1:9">
      <c r="A42" s="3942" t="s">
        <v>29</v>
      </c>
      <c r="B42" s="3943" t="s">
        <v>2221</v>
      </c>
      <c r="C42" s="3935" t="s">
        <v>519</v>
      </c>
      <c r="D42" s="3944"/>
      <c r="E42" s="3945">
        <f>E48-E19</f>
        <v>0</v>
      </c>
      <c r="F42" s="3945">
        <v>287000</v>
      </c>
      <c r="G42" s="3945">
        <f>E42*F42*(100%+$G$193)/1000000</f>
        <v>0</v>
      </c>
      <c r="H42" s="3944"/>
      <c r="I42" s="3946"/>
    </row>
    <row r="43" spans="1:9" s="3936" customFormat="1">
      <c r="A43" s="3933">
        <v>2</v>
      </c>
      <c r="B43" s="3934" t="s">
        <v>2067</v>
      </c>
      <c r="C43" s="3935"/>
      <c r="D43" s="3931"/>
      <c r="E43" s="3931"/>
      <c r="F43" s="3931"/>
      <c r="G43" s="3931">
        <f>(SUM(G44,G49))</f>
        <v>760426.67794500012</v>
      </c>
      <c r="H43" s="3931"/>
      <c r="I43" s="3932"/>
    </row>
    <row r="44" spans="1:9" s="3952" customFormat="1">
      <c r="A44" s="3938" t="s">
        <v>204</v>
      </c>
      <c r="B44" s="3939" t="s">
        <v>2248</v>
      </c>
      <c r="C44" s="3935"/>
      <c r="D44" s="3953"/>
      <c r="E44" s="3953">
        <f>SUM(E45:E48)</f>
        <v>1600575</v>
      </c>
      <c r="F44" s="3935"/>
      <c r="G44" s="3940">
        <f>SUM(G45:G48)</f>
        <v>432084.78580499999</v>
      </c>
      <c r="H44" s="3953"/>
      <c r="I44" s="3954"/>
    </row>
    <row r="45" spans="1:9">
      <c r="A45" s="3942" t="s">
        <v>29</v>
      </c>
      <c r="B45" s="3943" t="s">
        <v>2218</v>
      </c>
      <c r="C45" s="3935" t="s">
        <v>519</v>
      </c>
      <c r="D45" s="3944"/>
      <c r="E45" s="3945">
        <v>303054</v>
      </c>
      <c r="F45" s="3945">
        <v>182700</v>
      </c>
      <c r="G45" s="3945">
        <f>E45*F45*(100%+$G$193)/1000000</f>
        <v>63673.16066999999</v>
      </c>
      <c r="H45" s="3944"/>
      <c r="I45" s="3946"/>
    </row>
    <row r="46" spans="1:9">
      <c r="A46" s="3942" t="s">
        <v>29</v>
      </c>
      <c r="B46" s="3943" t="s">
        <v>2219</v>
      </c>
      <c r="C46" s="3935" t="s">
        <v>519</v>
      </c>
      <c r="D46" s="3944"/>
      <c r="E46" s="3945">
        <v>1297521</v>
      </c>
      <c r="F46" s="3945">
        <v>246900</v>
      </c>
      <c r="G46" s="3945">
        <f>E46*F46*(100%+$G$193)/1000000</f>
        <v>368411.62513499998</v>
      </c>
      <c r="H46" s="3944"/>
      <c r="I46" s="3946"/>
    </row>
    <row r="47" spans="1:9">
      <c r="A47" s="3942" t="s">
        <v>29</v>
      </c>
      <c r="B47" s="3943" t="s">
        <v>2220</v>
      </c>
      <c r="C47" s="3935" t="s">
        <v>519</v>
      </c>
      <c r="D47" s="3944"/>
      <c r="E47" s="3945"/>
      <c r="F47" s="3945">
        <v>333300</v>
      </c>
      <c r="G47" s="3945">
        <f>E47*F47*(100%+$G$193)/1000000</f>
        <v>0</v>
      </c>
      <c r="H47" s="3944"/>
      <c r="I47" s="3946"/>
    </row>
    <row r="48" spans="1:9">
      <c r="A48" s="3942" t="s">
        <v>29</v>
      </c>
      <c r="B48" s="3943" t="s">
        <v>2221</v>
      </c>
      <c r="C48" s="3935" t="s">
        <v>519</v>
      </c>
      <c r="D48" s="3944"/>
      <c r="E48" s="3945">
        <f>1600575-E45-E46-E47</f>
        <v>0</v>
      </c>
      <c r="F48" s="3945">
        <v>469100</v>
      </c>
      <c r="G48" s="3945">
        <f>E48*F48*(100%+$G$193)/1000000</f>
        <v>0</v>
      </c>
      <c r="H48" s="3944"/>
      <c r="I48" s="3946"/>
    </row>
    <row r="49" spans="1:9" s="3906" customFormat="1">
      <c r="A49" s="3938" t="s">
        <v>206</v>
      </c>
      <c r="B49" s="3939" t="s">
        <v>2235</v>
      </c>
      <c r="C49" s="3937"/>
      <c r="D49" s="3940"/>
      <c r="E49" s="3955"/>
      <c r="F49" s="3955"/>
      <c r="G49" s="3955">
        <f>SUM(G50:G57)</f>
        <v>328341.89214000007</v>
      </c>
      <c r="H49" s="3940"/>
      <c r="I49" s="3941"/>
    </row>
    <row r="50" spans="1:9">
      <c r="A50" s="3942" t="s">
        <v>1637</v>
      </c>
      <c r="B50" s="3943" t="s">
        <v>2249</v>
      </c>
      <c r="C50" s="3935" t="s">
        <v>519</v>
      </c>
      <c r="D50" s="3944"/>
      <c r="E50" s="3945">
        <v>156326</v>
      </c>
      <c r="F50" s="3956">
        <f>(4.5%*$C$9)*12</f>
        <v>0.80459999999999998</v>
      </c>
      <c r="G50" s="3945">
        <f t="shared" ref="G50:G57" si="1">E50*F50</f>
        <v>125779.8996</v>
      </c>
      <c r="H50" s="3944"/>
      <c r="I50" s="3946"/>
    </row>
    <row r="51" spans="1:9">
      <c r="A51" s="3942" t="s">
        <v>1644</v>
      </c>
      <c r="B51" s="3943" t="s">
        <v>2250</v>
      </c>
      <c r="C51" s="3935" t="s">
        <v>519</v>
      </c>
      <c r="D51" s="3944"/>
      <c r="E51" s="3945">
        <v>37961</v>
      </c>
      <c r="F51" s="3956">
        <f>(4.5%*$C$9)*12</f>
        <v>0.80459999999999998</v>
      </c>
      <c r="G51" s="3945">
        <f t="shared" si="1"/>
        <v>30543.420599999998</v>
      </c>
      <c r="H51" s="3944"/>
      <c r="I51" s="3946"/>
    </row>
    <row r="52" spans="1:9">
      <c r="A52" s="3942" t="s">
        <v>1646</v>
      </c>
      <c r="B52" s="3943" t="s">
        <v>2251</v>
      </c>
      <c r="C52" s="3935" t="s">
        <v>519</v>
      </c>
      <c r="D52" s="3944"/>
      <c r="E52" s="3945">
        <v>79550</v>
      </c>
      <c r="F52" s="3956">
        <f>(4.5%*$C$9)*12*(70%)</f>
        <v>0.56321999999999994</v>
      </c>
      <c r="G52" s="3945">
        <f t="shared" si="1"/>
        <v>44804.150999999998</v>
      </c>
      <c r="H52" s="3944"/>
      <c r="I52" s="3946"/>
    </row>
    <row r="53" spans="1:9" ht="26.4">
      <c r="A53" s="3942" t="s">
        <v>2252</v>
      </c>
      <c r="B53" s="3943" t="s">
        <v>2253</v>
      </c>
      <c r="C53" s="3935"/>
      <c r="D53" s="3944"/>
      <c r="E53" s="3945">
        <v>8314</v>
      </c>
      <c r="F53" s="3956">
        <f>(4.5%*$C$9)*12*30%</f>
        <v>0.24137999999999998</v>
      </c>
      <c r="G53" s="3945">
        <f t="shared" si="1"/>
        <v>2006.83332</v>
      </c>
      <c r="H53" s="3944"/>
      <c r="I53" s="3946"/>
    </row>
    <row r="54" spans="1:9">
      <c r="A54" s="3942" t="s">
        <v>2254</v>
      </c>
      <c r="B54" s="3943" t="s">
        <v>2255</v>
      </c>
      <c r="C54" s="3935"/>
      <c r="D54" s="3944"/>
      <c r="E54" s="3945">
        <v>49</v>
      </c>
      <c r="F54" s="3956">
        <f>(4.5%*$C$9)*12</f>
        <v>0.80459999999999998</v>
      </c>
      <c r="G54" s="3945">
        <f t="shared" si="1"/>
        <v>39.425399999999996</v>
      </c>
      <c r="H54" s="3944"/>
      <c r="I54" s="3946"/>
    </row>
    <row r="55" spans="1:9" ht="26.4">
      <c r="A55" s="3942" t="s">
        <v>2256</v>
      </c>
      <c r="B55" s="3943" t="s">
        <v>2257</v>
      </c>
      <c r="C55" s="3935"/>
      <c r="D55" s="3944"/>
      <c r="E55" s="3945">
        <v>58743</v>
      </c>
      <c r="F55" s="3956">
        <f>(4.5%*$C$9)*12</f>
        <v>0.80459999999999998</v>
      </c>
      <c r="G55" s="3945">
        <f t="shared" si="1"/>
        <v>47264.6178</v>
      </c>
      <c r="H55" s="3944"/>
      <c r="I55" s="3946"/>
    </row>
    <row r="56" spans="1:9">
      <c r="A56" s="3942" t="s">
        <v>2258</v>
      </c>
      <c r="B56" s="3943" t="s">
        <v>2259</v>
      </c>
      <c r="C56" s="3935"/>
      <c r="D56" s="3944"/>
      <c r="E56" s="3944">
        <v>266509</v>
      </c>
      <c r="F56" s="3956">
        <f>(4.5%*$C$9)*12*30%</f>
        <v>0.24137999999999998</v>
      </c>
      <c r="G56" s="3945">
        <f t="shared" si="1"/>
        <v>64329.942419999992</v>
      </c>
      <c r="H56" s="3944"/>
      <c r="I56" s="3946"/>
    </row>
    <row r="57" spans="1:9" ht="39.6">
      <c r="A57" s="3942" t="s">
        <v>2260</v>
      </c>
      <c r="B57" s="3943" t="s">
        <v>2261</v>
      </c>
      <c r="C57" s="3935"/>
      <c r="D57" s="3944"/>
      <c r="E57" s="3944">
        <v>16870</v>
      </c>
      <c r="F57" s="3956">
        <f>(4.5%*$C$9)*12</f>
        <v>0.80459999999999998</v>
      </c>
      <c r="G57" s="3945">
        <f t="shared" si="1"/>
        <v>13573.601999999999</v>
      </c>
      <c r="H57" s="3944"/>
      <c r="I57" s="3946"/>
    </row>
    <row r="58" spans="1:9" s="3936" customFormat="1">
      <c r="A58" s="3933">
        <v>3</v>
      </c>
      <c r="B58" s="3957" t="s">
        <v>2071</v>
      </c>
      <c r="C58" s="3935"/>
      <c r="D58" s="3931"/>
      <c r="E58" s="3931"/>
      <c r="F58" s="3931"/>
      <c r="G58" s="3931">
        <f>(SUM(G59,G71,G106))</f>
        <v>1200511.5575907528</v>
      </c>
      <c r="H58" s="3931"/>
      <c r="I58" s="3932"/>
    </row>
    <row r="59" spans="1:9" s="3936" customFormat="1">
      <c r="A59" s="3938" t="s">
        <v>1088</v>
      </c>
      <c r="B59" s="3957" t="s">
        <v>2262</v>
      </c>
      <c r="C59" s="3935"/>
      <c r="D59" s="3931"/>
      <c r="E59" s="3931"/>
      <c r="F59" s="3931"/>
      <c r="G59" s="3931">
        <f>SUM(G60,G65,G68)</f>
        <v>256987.90534999996</v>
      </c>
      <c r="H59" s="3931"/>
      <c r="I59" s="3932"/>
    </row>
    <row r="60" spans="1:9" s="3952" customFormat="1">
      <c r="A60" s="3938" t="s">
        <v>99</v>
      </c>
      <c r="B60" s="3939" t="s">
        <v>2248</v>
      </c>
      <c r="C60" s="3935"/>
      <c r="D60" s="3953"/>
      <c r="E60" s="3953">
        <f>SUM(E61:E64)</f>
        <v>1600575</v>
      </c>
      <c r="F60" s="3935"/>
      <c r="G60" s="3940">
        <f>SUM(G61:G64)</f>
        <v>126887.90534999997</v>
      </c>
      <c r="H60" s="3953"/>
      <c r="I60" s="3954"/>
    </row>
    <row r="61" spans="1:9">
      <c r="A61" s="3942" t="s">
        <v>29</v>
      </c>
      <c r="B61" s="3943" t="s">
        <v>2218</v>
      </c>
      <c r="C61" s="3935" t="s">
        <v>519</v>
      </c>
      <c r="D61" s="3944"/>
      <c r="E61" s="3945">
        <f>$E$45</f>
        <v>303054</v>
      </c>
      <c r="F61" s="3945">
        <v>73800</v>
      </c>
      <c r="G61" s="3945">
        <f>E61*F61*(100%+$G$193)/1000000</f>
        <v>25720.192979999996</v>
      </c>
      <c r="H61" s="3944"/>
      <c r="I61" s="3946"/>
    </row>
    <row r="62" spans="1:9">
      <c r="A62" s="3942" t="s">
        <v>29</v>
      </c>
      <c r="B62" s="3943" t="s">
        <v>2219</v>
      </c>
      <c r="C62" s="3935" t="s">
        <v>519</v>
      </c>
      <c r="D62" s="3944"/>
      <c r="E62" s="3945">
        <f>$E$46</f>
        <v>1297521</v>
      </c>
      <c r="F62" s="3945">
        <v>67800</v>
      </c>
      <c r="G62" s="3945">
        <f>E62*F62*(100%+$G$193)/1000000</f>
        <v>101167.71236999998</v>
      </c>
      <c r="H62" s="3944"/>
      <c r="I62" s="3946"/>
    </row>
    <row r="63" spans="1:9">
      <c r="A63" s="3942" t="s">
        <v>29</v>
      </c>
      <c r="B63" s="3943" t="s">
        <v>2220</v>
      </c>
      <c r="C63" s="3935" t="s">
        <v>519</v>
      </c>
      <c r="D63" s="3944"/>
      <c r="E63" s="3945">
        <f>$E$47</f>
        <v>0</v>
      </c>
      <c r="F63" s="3945">
        <v>100200</v>
      </c>
      <c r="G63" s="3945">
        <f>E63*F63*(100%+$G$193)/1000000</f>
        <v>0</v>
      </c>
      <c r="H63" s="3944"/>
      <c r="I63" s="3946"/>
    </row>
    <row r="64" spans="1:9">
      <c r="A64" s="3942" t="s">
        <v>29</v>
      </c>
      <c r="B64" s="3943" t="s">
        <v>2221</v>
      </c>
      <c r="C64" s="3935" t="s">
        <v>519</v>
      </c>
      <c r="D64" s="3944"/>
      <c r="E64" s="3945">
        <f>$E$48</f>
        <v>0</v>
      </c>
      <c r="F64" s="3945">
        <v>121900</v>
      </c>
      <c r="G64" s="3945">
        <f>E64*F64*(100%+$G$193)/1000000</f>
        <v>0</v>
      </c>
      <c r="H64" s="3944"/>
      <c r="I64" s="3946"/>
    </row>
    <row r="65" spans="1:9" s="3952" customFormat="1">
      <c r="A65" s="3938" t="s">
        <v>101</v>
      </c>
      <c r="B65" s="3939" t="s">
        <v>2263</v>
      </c>
      <c r="C65" s="3935"/>
      <c r="D65" s="3953"/>
      <c r="E65" s="3940">
        <f>SUM(E66:E67)</f>
        <v>12</v>
      </c>
      <c r="F65" s="3935"/>
      <c r="G65" s="3940">
        <f>SUM(G66:G67)</f>
        <v>30000</v>
      </c>
      <c r="H65" s="3953"/>
      <c r="I65" s="3954"/>
    </row>
    <row r="66" spans="1:9">
      <c r="A66" s="3942" t="s">
        <v>29</v>
      </c>
      <c r="B66" s="3958" t="s">
        <v>2264</v>
      </c>
      <c r="C66" s="3935" t="s">
        <v>556</v>
      </c>
      <c r="D66" s="3944"/>
      <c r="E66" s="3944">
        <v>0</v>
      </c>
      <c r="F66" s="3944">
        <v>3000</v>
      </c>
      <c r="G66" s="3945">
        <f>E66*F66</f>
        <v>0</v>
      </c>
      <c r="H66" s="3944"/>
      <c r="I66" s="3946"/>
    </row>
    <row r="67" spans="1:9">
      <c r="A67" s="3942" t="s">
        <v>29</v>
      </c>
      <c r="B67" s="3958" t="s">
        <v>2265</v>
      </c>
      <c r="C67" s="3935" t="s">
        <v>556</v>
      </c>
      <c r="D67" s="3944"/>
      <c r="E67" s="3944">
        <f>12-E66</f>
        <v>12</v>
      </c>
      <c r="F67" s="3944">
        <v>2500</v>
      </c>
      <c r="G67" s="3945">
        <f>E67*F67</f>
        <v>30000</v>
      </c>
      <c r="H67" s="3944"/>
      <c r="I67" s="3946"/>
    </row>
    <row r="68" spans="1:9">
      <c r="A68" s="3938" t="s">
        <v>147</v>
      </c>
      <c r="B68" s="3939" t="s">
        <v>2266</v>
      </c>
      <c r="C68" s="3935"/>
      <c r="D68" s="3944"/>
      <c r="E68" s="3944">
        <f>SUM(E69:E70)</f>
        <v>143</v>
      </c>
      <c r="F68" s="3935"/>
      <c r="G68" s="3940">
        <f>SUM(G69:G70)</f>
        <v>100100</v>
      </c>
      <c r="H68" s="3944"/>
      <c r="I68" s="3946"/>
    </row>
    <row r="69" spans="1:9">
      <c r="A69" s="3942" t="s">
        <v>29</v>
      </c>
      <c r="B69" s="3958" t="s">
        <v>2264</v>
      </c>
      <c r="C69" s="3935" t="s">
        <v>556</v>
      </c>
      <c r="D69" s="3944"/>
      <c r="E69" s="3944">
        <v>0</v>
      </c>
      <c r="F69" s="3944">
        <v>1200</v>
      </c>
      <c r="G69" s="3945">
        <f>E69*F69</f>
        <v>0</v>
      </c>
      <c r="H69" s="3944"/>
      <c r="I69" s="3946"/>
    </row>
    <row r="70" spans="1:9">
      <c r="A70" s="3942" t="s">
        <v>29</v>
      </c>
      <c r="B70" s="3958" t="s">
        <v>2265</v>
      </c>
      <c r="C70" s="3935" t="s">
        <v>556</v>
      </c>
      <c r="D70" s="3944"/>
      <c r="E70" s="3944">
        <f>143-E69</f>
        <v>143</v>
      </c>
      <c r="F70" s="3944">
        <v>700</v>
      </c>
      <c r="G70" s="3945">
        <f>E70*F70</f>
        <v>100100</v>
      </c>
      <c r="H70" s="3944"/>
      <c r="I70" s="3946"/>
    </row>
    <row r="71" spans="1:9">
      <c r="A71" s="3938" t="s">
        <v>1092</v>
      </c>
      <c r="B71" s="3939" t="s">
        <v>2267</v>
      </c>
      <c r="C71" s="3935"/>
      <c r="D71" s="3944"/>
      <c r="E71" s="3944"/>
      <c r="F71" s="3944"/>
      <c r="G71" s="3959">
        <f>IF(G107&gt;75%,(G106/75%)-G59-G106,0)</f>
        <v>43139.984047688311</v>
      </c>
      <c r="H71" s="3944"/>
      <c r="I71" s="3946"/>
    </row>
    <row r="72" spans="1:9">
      <c r="A72" s="3938" t="s">
        <v>99</v>
      </c>
      <c r="B72" s="3939" t="s">
        <v>2268</v>
      </c>
      <c r="C72" s="3935"/>
      <c r="D72" s="3944"/>
      <c r="E72" s="3944"/>
      <c r="F72" s="3944"/>
      <c r="G72" s="3940">
        <f>SUM(G77,G78,G79)</f>
        <v>476317.37486870796</v>
      </c>
      <c r="H72" s="3944"/>
      <c r="I72" s="3946"/>
    </row>
    <row r="73" spans="1:9">
      <c r="A73" s="3938" t="s">
        <v>29</v>
      </c>
      <c r="B73" s="3943" t="s">
        <v>2269</v>
      </c>
      <c r="C73" s="3935" t="s">
        <v>437</v>
      </c>
      <c r="D73" s="3944"/>
      <c r="E73" s="3944">
        <v>3515</v>
      </c>
      <c r="F73" s="3944"/>
      <c r="G73" s="3940"/>
      <c r="H73" s="3944"/>
      <c r="I73" s="3946"/>
    </row>
    <row r="74" spans="1:9">
      <c r="A74" s="3938" t="s">
        <v>29</v>
      </c>
      <c r="B74" s="3943" t="s">
        <v>2226</v>
      </c>
      <c r="C74" s="3935" t="s">
        <v>437</v>
      </c>
      <c r="D74" s="3944"/>
      <c r="E74" s="3944">
        <v>3515</v>
      </c>
      <c r="F74" s="3944"/>
      <c r="G74" s="3940"/>
      <c r="H74" s="3944"/>
      <c r="I74" s="3946"/>
    </row>
    <row r="75" spans="1:9">
      <c r="A75" s="3938" t="s">
        <v>29</v>
      </c>
      <c r="B75" s="3943" t="s">
        <v>2227</v>
      </c>
      <c r="C75" s="3935" t="s">
        <v>437</v>
      </c>
      <c r="D75" s="3940"/>
      <c r="E75" s="3944">
        <f>E73-E74</f>
        <v>0</v>
      </c>
      <c r="F75" s="3940"/>
      <c r="G75" s="3944"/>
      <c r="H75" s="3944"/>
      <c r="I75" s="3946"/>
    </row>
    <row r="76" spans="1:9">
      <c r="A76" s="3938" t="s">
        <v>29</v>
      </c>
      <c r="B76" s="3943" t="s">
        <v>2270</v>
      </c>
      <c r="C76" s="3935" t="s">
        <v>2229</v>
      </c>
      <c r="D76" s="3940"/>
      <c r="E76" s="3947">
        <v>2.34</v>
      </c>
      <c r="F76" s="3940"/>
      <c r="G76" s="3944"/>
      <c r="H76" s="3944"/>
      <c r="I76" s="3946"/>
    </row>
    <row r="77" spans="1:9">
      <c r="A77" s="3942" t="s">
        <v>29</v>
      </c>
      <c r="B77" s="3943" t="s">
        <v>2230</v>
      </c>
      <c r="C77" s="3935" t="s">
        <v>2229</v>
      </c>
      <c r="D77" s="3944"/>
      <c r="E77" s="3947">
        <v>4.17</v>
      </c>
      <c r="F77" s="3944"/>
      <c r="G77" s="3944">
        <f>$C$9*12*E77*E74+$C$9*12*E75*E76</f>
        <v>262076.99399999995</v>
      </c>
      <c r="H77" s="3944"/>
      <c r="I77" s="3946"/>
    </row>
    <row r="78" spans="1:9">
      <c r="A78" s="3942" t="s">
        <v>29</v>
      </c>
      <c r="B78" s="3943" t="s">
        <v>2231</v>
      </c>
      <c r="C78" s="3935" t="s">
        <v>2229</v>
      </c>
      <c r="D78" s="3944"/>
      <c r="E78" s="3947">
        <v>2.2799999999999998</v>
      </c>
      <c r="F78" s="3944"/>
      <c r="G78" s="3944">
        <f>E78/E77*G77</f>
        <v>143293.89599999995</v>
      </c>
      <c r="H78" s="3944"/>
      <c r="I78" s="3946"/>
    </row>
    <row r="79" spans="1:9">
      <c r="A79" s="3942" t="s">
        <v>29</v>
      </c>
      <c r="B79" s="3943" t="s">
        <v>2232</v>
      </c>
      <c r="C79" s="3935" t="s">
        <v>2229</v>
      </c>
      <c r="D79" s="3944"/>
      <c r="E79" s="3947">
        <v>17.501622987459239</v>
      </c>
      <c r="F79" s="3944"/>
      <c r="G79" s="3944">
        <f>(G77+G78)*E79/100</f>
        <v>70946.484868708081</v>
      </c>
      <c r="H79" s="3944"/>
      <c r="I79" s="3946"/>
    </row>
    <row r="80" spans="1:9">
      <c r="A80" s="3938" t="s">
        <v>101</v>
      </c>
      <c r="B80" s="3939" t="s">
        <v>2271</v>
      </c>
      <c r="C80" s="3935"/>
      <c r="D80" s="3944"/>
      <c r="E80" s="3944">
        <f>E81+E82+E83</f>
        <v>143</v>
      </c>
      <c r="F80" s="3944"/>
      <c r="G80" s="3940">
        <f>SUM(G85,G86,G87)</f>
        <v>291598.73732435663</v>
      </c>
      <c r="H80" s="3944"/>
      <c r="I80" s="3946"/>
    </row>
    <row r="81" spans="1:9">
      <c r="A81" s="3942" t="s">
        <v>29</v>
      </c>
      <c r="B81" s="3943" t="s">
        <v>2272</v>
      </c>
      <c r="C81" s="3935" t="s">
        <v>556</v>
      </c>
      <c r="D81" s="3944"/>
      <c r="E81" s="3944">
        <v>91</v>
      </c>
      <c r="F81" s="3960">
        <f>286.08*1000000</f>
        <v>286080000</v>
      </c>
      <c r="G81" s="3944">
        <f>E81*F81/1000000</f>
        <v>26033.279999999999</v>
      </c>
      <c r="H81" s="3944"/>
      <c r="I81" s="3946"/>
    </row>
    <row r="82" spans="1:9">
      <c r="A82" s="3942" t="s">
        <v>29</v>
      </c>
      <c r="B82" s="3943" t="s">
        <v>2273</v>
      </c>
      <c r="C82" s="3935" t="s">
        <v>556</v>
      </c>
      <c r="D82" s="3944"/>
      <c r="E82" s="3944">
        <v>49</v>
      </c>
      <c r="F82" s="3960">
        <f>244.956*1000000</f>
        <v>244956000</v>
      </c>
      <c r="G82" s="3944">
        <f>E82*F82/1000000</f>
        <v>12002.843999999999</v>
      </c>
      <c r="H82" s="3944"/>
      <c r="I82" s="3946"/>
    </row>
    <row r="83" spans="1:9">
      <c r="A83" s="3942" t="s">
        <v>29</v>
      </c>
      <c r="B83" s="3943" t="s">
        <v>2274</v>
      </c>
      <c r="C83" s="3935" t="s">
        <v>556</v>
      </c>
      <c r="D83" s="3944"/>
      <c r="E83" s="3944">
        <f>143-E81-E82</f>
        <v>3</v>
      </c>
      <c r="F83" s="3960">
        <f>203.832*1000000</f>
        <v>203832000</v>
      </c>
      <c r="G83" s="3944">
        <f>E83*F83/1000000</f>
        <v>611.49599999999998</v>
      </c>
      <c r="H83" s="3944"/>
      <c r="I83" s="3946"/>
    </row>
    <row r="84" spans="1:9">
      <c r="A84" s="3938" t="s">
        <v>29</v>
      </c>
      <c r="B84" s="3943" t="s">
        <v>2275</v>
      </c>
      <c r="C84" s="3935" t="s">
        <v>437</v>
      </c>
      <c r="D84" s="3944"/>
      <c r="E84" s="3944">
        <f>(23*E81+21*E82+19*E83)</f>
        <v>3179</v>
      </c>
      <c r="F84" s="3944"/>
      <c r="G84" s="3940"/>
      <c r="H84" s="3944"/>
      <c r="I84" s="3946"/>
    </row>
    <row r="85" spans="1:9">
      <c r="A85" s="3942" t="s">
        <v>29</v>
      </c>
      <c r="B85" s="3943" t="s">
        <v>2230</v>
      </c>
      <c r="C85" s="3935" t="s">
        <v>2229</v>
      </c>
      <c r="D85" s="3944"/>
      <c r="E85" s="3961">
        <v>3.0859999999999999</v>
      </c>
      <c r="F85" s="3944"/>
      <c r="G85" s="3944">
        <f>$C$9*12*E85*E84</f>
        <v>175409.84471999999</v>
      </c>
      <c r="H85" s="3944"/>
      <c r="I85" s="3946"/>
    </row>
    <row r="86" spans="1:9">
      <c r="A86" s="3942" t="s">
        <v>29</v>
      </c>
      <c r="B86" s="3943" t="s">
        <v>2231</v>
      </c>
      <c r="C86" s="3935" t="s">
        <v>2229</v>
      </c>
      <c r="D86" s="3944"/>
      <c r="E86" s="3947">
        <v>1.28</v>
      </c>
      <c r="F86" s="3944"/>
      <c r="G86" s="3944">
        <f>E86/E85*G85</f>
        <v>72755.865600000005</v>
      </c>
      <c r="H86" s="3944"/>
      <c r="I86" s="3946"/>
    </row>
    <row r="87" spans="1:9">
      <c r="A87" s="3942" t="s">
        <v>29</v>
      </c>
      <c r="B87" s="3943" t="s">
        <v>2276</v>
      </c>
      <c r="C87" s="3935" t="s">
        <v>417</v>
      </c>
      <c r="D87" s="3944"/>
      <c r="E87" s="3947">
        <v>17.501622987459239</v>
      </c>
      <c r="F87" s="3944"/>
      <c r="G87" s="3944">
        <f>(G85+G86)*E87/100</f>
        <v>43433.027004356627</v>
      </c>
      <c r="H87" s="3944"/>
      <c r="I87" s="3946"/>
    </row>
    <row r="88" spans="1:9">
      <c r="A88" s="3938" t="s">
        <v>147</v>
      </c>
      <c r="B88" s="3939" t="s">
        <v>2277</v>
      </c>
      <c r="C88" s="3935" t="s">
        <v>519</v>
      </c>
      <c r="D88" s="3944"/>
      <c r="E88" s="3944"/>
      <c r="F88" s="3944"/>
      <c r="G88" s="3940">
        <f>SUM(G89,G93)</f>
        <v>89927.459999999992</v>
      </c>
      <c r="H88" s="3944"/>
      <c r="I88" s="3946"/>
    </row>
    <row r="89" spans="1:9" s="3906" customFormat="1">
      <c r="A89" s="3938" t="s">
        <v>2236</v>
      </c>
      <c r="B89" s="3939" t="s">
        <v>2278</v>
      </c>
      <c r="C89" s="3937" t="s">
        <v>556</v>
      </c>
      <c r="D89" s="3940"/>
      <c r="E89" s="3940">
        <f>SUM(E90:E92)</f>
        <v>143</v>
      </c>
      <c r="F89" s="3940"/>
      <c r="G89" s="3940">
        <f>SUM(G90:G92)</f>
        <v>38647.619999999995</v>
      </c>
      <c r="H89" s="3940"/>
      <c r="I89" s="3941"/>
    </row>
    <row r="90" spans="1:9">
      <c r="A90" s="3942" t="s">
        <v>29</v>
      </c>
      <c r="B90" s="3943" t="s">
        <v>2272</v>
      </c>
      <c r="C90" s="3935" t="s">
        <v>556</v>
      </c>
      <c r="D90" s="3944"/>
      <c r="E90" s="3944">
        <f>E81</f>
        <v>91</v>
      </c>
      <c r="F90" s="3961">
        <v>286.08</v>
      </c>
      <c r="G90" s="3944">
        <f>E90*F90</f>
        <v>26033.279999999999</v>
      </c>
      <c r="H90" s="3944"/>
      <c r="I90" s="3946"/>
    </row>
    <row r="91" spans="1:9">
      <c r="A91" s="3942" t="s">
        <v>29</v>
      </c>
      <c r="B91" s="3943" t="s">
        <v>2273</v>
      </c>
      <c r="C91" s="3935" t="s">
        <v>556</v>
      </c>
      <c r="D91" s="3944"/>
      <c r="E91" s="3944">
        <f>E82</f>
        <v>49</v>
      </c>
      <c r="F91" s="3961">
        <v>244.95600000000002</v>
      </c>
      <c r="G91" s="3944">
        <f>E91*F91</f>
        <v>12002.844000000001</v>
      </c>
      <c r="H91" s="3944"/>
      <c r="I91" s="3946"/>
    </row>
    <row r="92" spans="1:9">
      <c r="A92" s="3942" t="s">
        <v>29</v>
      </c>
      <c r="B92" s="3943" t="s">
        <v>2274</v>
      </c>
      <c r="C92" s="3935" t="s">
        <v>556</v>
      </c>
      <c r="D92" s="3944"/>
      <c r="E92" s="3944">
        <f>E83</f>
        <v>3</v>
      </c>
      <c r="F92" s="3961">
        <v>203.83199999999999</v>
      </c>
      <c r="G92" s="3944">
        <f>E92*F92</f>
        <v>611.49599999999998</v>
      </c>
      <c r="H92" s="3944"/>
      <c r="I92" s="3946"/>
    </row>
    <row r="93" spans="1:9" s="3906" customFormat="1">
      <c r="A93" s="3938" t="s">
        <v>2240</v>
      </c>
      <c r="B93" s="3939" t="s">
        <v>2279</v>
      </c>
      <c r="C93" s="3937" t="s">
        <v>556</v>
      </c>
      <c r="D93" s="3940"/>
      <c r="E93" s="3940">
        <f>SUM(E94:E95)</f>
        <v>698</v>
      </c>
      <c r="F93" s="3940"/>
      <c r="G93" s="3940">
        <f>SUM(G94:G95)</f>
        <v>51279.840000000004</v>
      </c>
      <c r="H93" s="3940"/>
      <c r="I93" s="3941"/>
    </row>
    <row r="94" spans="1:9">
      <c r="A94" s="3942" t="s">
        <v>1797</v>
      </c>
      <c r="B94" s="3943" t="s">
        <v>2280</v>
      </c>
      <c r="C94" s="3935" t="s">
        <v>556</v>
      </c>
      <c r="D94" s="3944"/>
      <c r="E94" s="3944">
        <f>387</f>
        <v>387</v>
      </c>
      <c r="F94" s="3961">
        <v>89.4</v>
      </c>
      <c r="G94" s="3944">
        <f>E94*F94</f>
        <v>34597.800000000003</v>
      </c>
      <c r="H94" s="3944"/>
      <c r="I94" s="3946"/>
    </row>
    <row r="95" spans="1:9">
      <c r="A95" s="3942" t="s">
        <v>1797</v>
      </c>
      <c r="B95" s="3943" t="s">
        <v>2281</v>
      </c>
      <c r="C95" s="3935"/>
      <c r="D95" s="3944"/>
      <c r="E95" s="3944">
        <v>311</v>
      </c>
      <c r="F95" s="3961">
        <v>53.64</v>
      </c>
      <c r="G95" s="3944">
        <f>E95*F95</f>
        <v>16682.04</v>
      </c>
      <c r="H95" s="3944"/>
      <c r="I95" s="3946"/>
    </row>
    <row r="96" spans="1:9">
      <c r="A96" s="3938" t="s">
        <v>148</v>
      </c>
      <c r="B96" s="3939" t="s">
        <v>2282</v>
      </c>
      <c r="C96" s="3935"/>
      <c r="D96" s="3944"/>
      <c r="E96" s="3962">
        <f>SUM(E97:E99)</f>
        <v>4208</v>
      </c>
      <c r="F96" s="3944"/>
      <c r="G96" s="3940">
        <f>SUM(G97:G99)</f>
        <v>23478.227999999999</v>
      </c>
      <c r="H96" s="3944"/>
      <c r="I96" s="3946"/>
    </row>
    <row r="97" spans="1:9">
      <c r="A97" s="3942" t="s">
        <v>1797</v>
      </c>
      <c r="B97" s="3943" t="s">
        <v>249</v>
      </c>
      <c r="C97" s="3935" t="s">
        <v>519</v>
      </c>
      <c r="D97" s="3944"/>
      <c r="E97" s="3962">
        <v>58</v>
      </c>
      <c r="F97" s="3961">
        <f>0.5*$C$9*12</f>
        <v>8.94</v>
      </c>
      <c r="G97" s="3944">
        <f>E97*F97</f>
        <v>518.52</v>
      </c>
      <c r="H97" s="3944"/>
      <c r="I97" s="3946"/>
    </row>
    <row r="98" spans="1:9">
      <c r="A98" s="3942" t="s">
        <v>1797</v>
      </c>
      <c r="B98" s="3943" t="s">
        <v>250</v>
      </c>
      <c r="C98" s="3935" t="s">
        <v>519</v>
      </c>
      <c r="D98" s="3944"/>
      <c r="E98" s="3962">
        <v>391</v>
      </c>
      <c r="F98" s="3961">
        <f>0.4*$C$9*12</f>
        <v>7.1519999999999992</v>
      </c>
      <c r="G98" s="3944">
        <f>E98*F98</f>
        <v>2796.4319999999998</v>
      </c>
      <c r="H98" s="3944"/>
      <c r="I98" s="3946"/>
    </row>
    <row r="99" spans="1:9">
      <c r="A99" s="3942" t="s">
        <v>1797</v>
      </c>
      <c r="B99" s="3943" t="s">
        <v>2283</v>
      </c>
      <c r="C99" s="3935" t="s">
        <v>519</v>
      </c>
      <c r="D99" s="3944"/>
      <c r="E99" s="3962">
        <v>3759</v>
      </c>
      <c r="F99" s="3961">
        <f>0.3*$C$9*12</f>
        <v>5.3639999999999999</v>
      </c>
      <c r="G99" s="3944">
        <f>E99*F99</f>
        <v>20163.275999999998</v>
      </c>
      <c r="H99" s="3944"/>
      <c r="I99" s="3946"/>
    </row>
    <row r="100" spans="1:9" s="3906" customFormat="1">
      <c r="A100" s="3938" t="s">
        <v>157</v>
      </c>
      <c r="B100" s="3939" t="s">
        <v>2284</v>
      </c>
      <c r="C100" s="3937"/>
      <c r="D100" s="3940"/>
      <c r="E100" s="3963"/>
      <c r="F100" s="3940"/>
      <c r="G100" s="3940">
        <f>SUM(G101,G105)</f>
        <v>19061.867999999999</v>
      </c>
      <c r="H100" s="3940"/>
      <c r="I100" s="3941"/>
    </row>
    <row r="101" spans="1:9" s="3906" customFormat="1">
      <c r="A101" s="3938" t="s">
        <v>2285</v>
      </c>
      <c r="B101" s="3939" t="s">
        <v>2286</v>
      </c>
      <c r="C101" s="3937"/>
      <c r="D101" s="3940"/>
      <c r="E101" s="3963">
        <f>SUM(E102:E104)</f>
        <v>2672</v>
      </c>
      <c r="F101" s="3940"/>
      <c r="G101" s="3940">
        <f>SUM(G102:G104)</f>
        <v>15366.071999999998</v>
      </c>
      <c r="H101" s="3940"/>
      <c r="I101" s="3941"/>
    </row>
    <row r="102" spans="1:9">
      <c r="A102" s="3942" t="s">
        <v>1797</v>
      </c>
      <c r="B102" s="3943" t="s">
        <v>249</v>
      </c>
      <c r="C102" s="3935" t="s">
        <v>519</v>
      </c>
      <c r="D102" s="3944"/>
      <c r="E102" s="3962">
        <v>51</v>
      </c>
      <c r="F102" s="3961">
        <f>0.5*$C$9*12</f>
        <v>8.94</v>
      </c>
      <c r="G102" s="3944">
        <f>E102*F102</f>
        <v>455.94</v>
      </c>
      <c r="H102" s="3944"/>
      <c r="I102" s="3946"/>
    </row>
    <row r="103" spans="1:9">
      <c r="A103" s="3942" t="s">
        <v>1797</v>
      </c>
      <c r="B103" s="3943" t="s">
        <v>250</v>
      </c>
      <c r="C103" s="3935" t="s">
        <v>519</v>
      </c>
      <c r="D103" s="3944"/>
      <c r="E103" s="3962">
        <v>476</v>
      </c>
      <c r="F103" s="3961">
        <f>0.4*$C$9*12</f>
        <v>7.1519999999999992</v>
      </c>
      <c r="G103" s="3944">
        <f>E103*F103</f>
        <v>3404.3519999999999</v>
      </c>
      <c r="H103" s="3944"/>
      <c r="I103" s="3946"/>
    </row>
    <row r="104" spans="1:9">
      <c r="A104" s="3942" t="s">
        <v>1797</v>
      </c>
      <c r="B104" s="3943" t="s">
        <v>2283</v>
      </c>
      <c r="C104" s="3935" t="s">
        <v>519</v>
      </c>
      <c r="D104" s="3944"/>
      <c r="E104" s="3962">
        <v>2145</v>
      </c>
      <c r="F104" s="3961">
        <f>0.3*$C$9*12</f>
        <v>5.3639999999999999</v>
      </c>
      <c r="G104" s="3944">
        <f>E104*F104</f>
        <v>11505.779999999999</v>
      </c>
      <c r="H104" s="3944"/>
      <c r="I104" s="3946"/>
    </row>
    <row r="105" spans="1:9" s="3906" customFormat="1">
      <c r="A105" s="3938" t="s">
        <v>2287</v>
      </c>
      <c r="B105" s="3939" t="s">
        <v>2288</v>
      </c>
      <c r="C105" s="3937"/>
      <c r="D105" s="3940"/>
      <c r="E105" s="3963">
        <v>689</v>
      </c>
      <c r="F105" s="3964">
        <f>0.3*$C$9*12</f>
        <v>5.3639999999999999</v>
      </c>
      <c r="G105" s="3940">
        <f>E105*F105</f>
        <v>3695.7959999999998</v>
      </c>
      <c r="H105" s="3940"/>
      <c r="I105" s="3941"/>
    </row>
    <row r="106" spans="1:9" s="3906" customFormat="1">
      <c r="A106" s="3938" t="s">
        <v>157</v>
      </c>
      <c r="B106" s="3939" t="s">
        <v>2289</v>
      </c>
      <c r="C106" s="3937"/>
      <c r="D106" s="3940"/>
      <c r="E106" s="3940"/>
      <c r="F106" s="3940"/>
      <c r="G106" s="3963">
        <f>SUM(G88,G80,G72,G96,G100)</f>
        <v>900383.66819306463</v>
      </c>
      <c r="H106" s="3940"/>
      <c r="I106" s="3941"/>
    </row>
    <row r="107" spans="1:9">
      <c r="A107" s="3938" t="s">
        <v>159</v>
      </c>
      <c r="B107" s="3939" t="s">
        <v>2290</v>
      </c>
      <c r="C107" s="3935" t="s">
        <v>417</v>
      </c>
      <c r="D107" s="3944"/>
      <c r="E107" s="3944"/>
      <c r="F107" s="3944"/>
      <c r="G107" s="3949">
        <f>G106/(G106+G59)</f>
        <v>0.77795557518033542</v>
      </c>
      <c r="H107" s="3944"/>
      <c r="I107" s="3946"/>
    </row>
    <row r="108" spans="1:9" s="3936" customFormat="1">
      <c r="A108" s="3933">
        <v>4</v>
      </c>
      <c r="B108" s="3934" t="s">
        <v>2291</v>
      </c>
      <c r="C108" s="3935"/>
      <c r="D108" s="3931"/>
      <c r="E108" s="3953">
        <f>SUM(E110:E113)</f>
        <v>1600575</v>
      </c>
      <c r="F108" s="3935"/>
      <c r="G108" s="3931">
        <f>(SUM(G109,G114))</f>
        <v>73993.550354999985</v>
      </c>
      <c r="H108" s="3931"/>
      <c r="I108" s="3932"/>
    </row>
    <row r="109" spans="1:9" s="3936" customFormat="1">
      <c r="A109" s="3938" t="s">
        <v>2292</v>
      </c>
      <c r="B109" s="3939" t="s">
        <v>2293</v>
      </c>
      <c r="C109" s="3935"/>
      <c r="D109" s="3931"/>
      <c r="E109" s="3931"/>
      <c r="F109" s="3935"/>
      <c r="G109" s="3940">
        <f>SUM(G110:G113)</f>
        <v>73993.550354999985</v>
      </c>
      <c r="H109" s="3931"/>
      <c r="I109" s="3932"/>
    </row>
    <row r="110" spans="1:9">
      <c r="A110" s="3942" t="s">
        <v>29</v>
      </c>
      <c r="B110" s="3943" t="s">
        <v>2218</v>
      </c>
      <c r="C110" s="3935" t="s">
        <v>519</v>
      </c>
      <c r="D110" s="3944"/>
      <c r="E110" s="3945">
        <f>$E$45</f>
        <v>303054</v>
      </c>
      <c r="F110" s="3945">
        <v>37200</v>
      </c>
      <c r="G110" s="3945">
        <f>E110*F110*(100%+$G$193)/1000000</f>
        <v>12964.650119999998</v>
      </c>
      <c r="H110" s="3944"/>
      <c r="I110" s="3946"/>
    </row>
    <row r="111" spans="1:9">
      <c r="A111" s="3942" t="s">
        <v>29</v>
      </c>
      <c r="B111" s="3943" t="s">
        <v>2219</v>
      </c>
      <c r="C111" s="3935" t="s">
        <v>519</v>
      </c>
      <c r="D111" s="3944"/>
      <c r="E111" s="3945">
        <f>$E$46</f>
        <v>1297521</v>
      </c>
      <c r="F111" s="3945">
        <v>40900</v>
      </c>
      <c r="G111" s="3945">
        <f>E111*F111*(100%+$G$193)/1000000</f>
        <v>61028.900234999994</v>
      </c>
      <c r="H111" s="3944"/>
      <c r="I111" s="3946"/>
    </row>
    <row r="112" spans="1:9">
      <c r="A112" s="3942" t="s">
        <v>29</v>
      </c>
      <c r="B112" s="3943" t="s">
        <v>2220</v>
      </c>
      <c r="C112" s="3935" t="s">
        <v>519</v>
      </c>
      <c r="D112" s="3944"/>
      <c r="E112" s="3945">
        <f>$E$47</f>
        <v>0</v>
      </c>
      <c r="F112" s="3945">
        <v>57300</v>
      </c>
      <c r="G112" s="3945">
        <f>E112*F112*(100%+$G$193)/1000000</f>
        <v>0</v>
      </c>
      <c r="H112" s="3944"/>
      <c r="I112" s="3946"/>
    </row>
    <row r="113" spans="1:9">
      <c r="A113" s="3942" t="s">
        <v>29</v>
      </c>
      <c r="B113" s="3943" t="s">
        <v>2221</v>
      </c>
      <c r="C113" s="3935" t="s">
        <v>519</v>
      </c>
      <c r="D113" s="3944"/>
      <c r="E113" s="3945">
        <f>$E$48</f>
        <v>0</v>
      </c>
      <c r="F113" s="3945">
        <v>79700</v>
      </c>
      <c r="G113" s="3945">
        <f>E113*F113*(100%+$G$193)/1000000</f>
        <v>0</v>
      </c>
      <c r="H113" s="3944"/>
      <c r="I113" s="3946"/>
    </row>
    <row r="114" spans="1:9" s="3906" customFormat="1">
      <c r="A114" s="3938" t="s">
        <v>2294</v>
      </c>
      <c r="B114" s="3939" t="s">
        <v>2295</v>
      </c>
      <c r="C114" s="3935" t="s">
        <v>2296</v>
      </c>
      <c r="D114" s="3940"/>
      <c r="E114" s="3955"/>
      <c r="F114" s="3955">
        <v>15000</v>
      </c>
      <c r="G114" s="3955">
        <f>+F114*E114/1000000</f>
        <v>0</v>
      </c>
      <c r="H114" s="3940"/>
      <c r="I114" s="3941"/>
    </row>
    <row r="115" spans="1:9" s="3936" customFormat="1">
      <c r="A115" s="3933">
        <v>5</v>
      </c>
      <c r="B115" s="3934" t="s">
        <v>2297</v>
      </c>
      <c r="C115" s="3930"/>
      <c r="D115" s="3931"/>
      <c r="E115" s="3953">
        <f>SUM(E117:E120)</f>
        <v>1600575</v>
      </c>
      <c r="F115" s="3935"/>
      <c r="G115" s="3931">
        <f>(SUM(G116))</f>
        <v>44408.986499999999</v>
      </c>
      <c r="H115" s="3931"/>
      <c r="I115" s="3932"/>
    </row>
    <row r="116" spans="1:9" s="3936" customFormat="1">
      <c r="A116" s="3938"/>
      <c r="B116" s="3939" t="s">
        <v>2293</v>
      </c>
      <c r="C116" s="3935"/>
      <c r="D116" s="3931"/>
      <c r="E116" s="3931"/>
      <c r="F116" s="3935"/>
      <c r="G116" s="3940">
        <f>SUM(G117:G120)</f>
        <v>44408.986499999999</v>
      </c>
      <c r="H116" s="3931"/>
      <c r="I116" s="3932"/>
    </row>
    <row r="117" spans="1:9">
      <c r="A117" s="3942" t="s">
        <v>29</v>
      </c>
      <c r="B117" s="3943" t="s">
        <v>2218</v>
      </c>
      <c r="C117" s="3935" t="s">
        <v>519</v>
      </c>
      <c r="D117" s="3944"/>
      <c r="E117" s="3945">
        <f>$E$45</f>
        <v>303054</v>
      </c>
      <c r="F117" s="3945">
        <v>22100</v>
      </c>
      <c r="G117" s="3945">
        <f>(E117*F117*(100%+$G$193)/1000000)</f>
        <v>7702.1174099999989</v>
      </c>
      <c r="H117" s="3944"/>
      <c r="I117" s="3946"/>
    </row>
    <row r="118" spans="1:9">
      <c r="A118" s="3942" t="s">
        <v>29</v>
      </c>
      <c r="B118" s="3943" t="s">
        <v>2219</v>
      </c>
      <c r="C118" s="3935" t="s">
        <v>519</v>
      </c>
      <c r="D118" s="3944"/>
      <c r="E118" s="3945">
        <f>$E$46</f>
        <v>1297521</v>
      </c>
      <c r="F118" s="3945">
        <v>24600</v>
      </c>
      <c r="G118" s="3945">
        <f>E118*F118*(100%+$G$193)/1000000</f>
        <v>36706.86909</v>
      </c>
      <c r="H118" s="3944"/>
      <c r="I118" s="3946"/>
    </row>
    <row r="119" spans="1:9">
      <c r="A119" s="3942" t="s">
        <v>29</v>
      </c>
      <c r="B119" s="3943" t="s">
        <v>2220</v>
      </c>
      <c r="C119" s="3935" t="s">
        <v>519</v>
      </c>
      <c r="D119" s="3944"/>
      <c r="E119" s="3945">
        <f>$E$47</f>
        <v>0</v>
      </c>
      <c r="F119" s="3945">
        <v>34400</v>
      </c>
      <c r="G119" s="3945">
        <f>E119*F119*(100%+$G$193)/1000000</f>
        <v>0</v>
      </c>
      <c r="H119" s="3944"/>
      <c r="I119" s="3946"/>
    </row>
    <row r="120" spans="1:9">
      <c r="A120" s="3942" t="s">
        <v>29</v>
      </c>
      <c r="B120" s="3943" t="s">
        <v>2221</v>
      </c>
      <c r="C120" s="3935" t="s">
        <v>519</v>
      </c>
      <c r="D120" s="3944"/>
      <c r="E120" s="3945">
        <f>$E$48</f>
        <v>0</v>
      </c>
      <c r="F120" s="3945">
        <v>47900</v>
      </c>
      <c r="G120" s="3945">
        <f>E120*F120*(100%+$G$193)/1000000</f>
        <v>0</v>
      </c>
      <c r="H120" s="3944"/>
      <c r="I120" s="3946"/>
    </row>
    <row r="121" spans="1:9" s="3936" customFormat="1">
      <c r="A121" s="3933">
        <v>6</v>
      </c>
      <c r="B121" s="3934" t="s">
        <v>2298</v>
      </c>
      <c r="C121" s="3935"/>
      <c r="D121" s="3931"/>
      <c r="E121" s="3953">
        <f>SUM(E123:E126)</f>
        <v>1600575</v>
      </c>
      <c r="F121" s="3935"/>
      <c r="G121" s="3931">
        <f>(SUM(G122))</f>
        <v>38158.223024999999</v>
      </c>
      <c r="H121" s="3931"/>
      <c r="I121" s="3932"/>
    </row>
    <row r="122" spans="1:9" s="3936" customFormat="1">
      <c r="A122" s="3938"/>
      <c r="B122" s="3939" t="s">
        <v>2293</v>
      </c>
      <c r="C122" s="3935"/>
      <c r="D122" s="3931"/>
      <c r="E122" s="3931"/>
      <c r="F122" s="3935"/>
      <c r="G122" s="3940">
        <f>SUM(G123:G126)</f>
        <v>38158.223024999999</v>
      </c>
      <c r="H122" s="3931"/>
      <c r="I122" s="3932"/>
    </row>
    <row r="123" spans="1:9">
      <c r="A123" s="3942" t="s">
        <v>29</v>
      </c>
      <c r="B123" s="3943" t="s">
        <v>2218</v>
      </c>
      <c r="C123" s="3935" t="s">
        <v>519</v>
      </c>
      <c r="D123" s="3944"/>
      <c r="E123" s="3945">
        <f>$E$45</f>
        <v>303054</v>
      </c>
      <c r="F123" s="3945">
        <v>26000</v>
      </c>
      <c r="G123" s="3945">
        <f>E123*F123*(100%+$G$193)/1000000</f>
        <v>9061.3145999999997</v>
      </c>
      <c r="H123" s="3944"/>
      <c r="I123" s="3946"/>
    </row>
    <row r="124" spans="1:9">
      <c r="A124" s="3942" t="s">
        <v>29</v>
      </c>
      <c r="B124" s="3943" t="s">
        <v>2219</v>
      </c>
      <c r="C124" s="3935" t="s">
        <v>519</v>
      </c>
      <c r="D124" s="3944"/>
      <c r="E124" s="3945">
        <f>$E$46</f>
        <v>1297521</v>
      </c>
      <c r="F124" s="3945">
        <v>19500</v>
      </c>
      <c r="G124" s="3945">
        <f>E124*F124*(100%+$G$193)/1000000</f>
        <v>29096.908424999998</v>
      </c>
      <c r="H124" s="3944"/>
      <c r="I124" s="3946"/>
    </row>
    <row r="125" spans="1:9">
      <c r="A125" s="3942" t="s">
        <v>29</v>
      </c>
      <c r="B125" s="3943" t="s">
        <v>2220</v>
      </c>
      <c r="C125" s="3935" t="s">
        <v>519</v>
      </c>
      <c r="D125" s="3944"/>
      <c r="E125" s="3945">
        <f>$E$47</f>
        <v>0</v>
      </c>
      <c r="F125" s="3945">
        <v>27300</v>
      </c>
      <c r="G125" s="3945">
        <f>E125*F125*(100%+$G$193)/1000000</f>
        <v>0</v>
      </c>
      <c r="H125" s="3944"/>
      <c r="I125" s="3946"/>
    </row>
    <row r="126" spans="1:9">
      <c r="A126" s="3942" t="s">
        <v>29</v>
      </c>
      <c r="B126" s="3943" t="s">
        <v>2221</v>
      </c>
      <c r="C126" s="3935" t="s">
        <v>519</v>
      </c>
      <c r="D126" s="3944"/>
      <c r="E126" s="3945">
        <f>$E$48</f>
        <v>0</v>
      </c>
      <c r="F126" s="3945">
        <v>37000</v>
      </c>
      <c r="G126" s="3945">
        <f>E126*F126*(100%+$G$193)/1000000</f>
        <v>0</v>
      </c>
      <c r="H126" s="3944"/>
      <c r="I126" s="3946"/>
    </row>
    <row r="127" spans="1:9" s="3936" customFormat="1">
      <c r="A127" s="3933">
        <v>7</v>
      </c>
      <c r="B127" s="3934" t="s">
        <v>2299</v>
      </c>
      <c r="C127" s="3935"/>
      <c r="D127" s="3931"/>
      <c r="E127" s="3931"/>
      <c r="F127" s="3945"/>
      <c r="G127" s="3931">
        <f>(SUM(G128,G133))</f>
        <v>540383.62502000004</v>
      </c>
      <c r="H127" s="3931"/>
      <c r="I127" s="3932"/>
    </row>
    <row r="128" spans="1:9" s="3952" customFormat="1">
      <c r="A128" s="3938" t="s">
        <v>2300</v>
      </c>
      <c r="B128" s="3939" t="s">
        <v>2248</v>
      </c>
      <c r="C128" s="3935"/>
      <c r="D128" s="3953"/>
      <c r="E128" s="3953">
        <f>SUM(E129:E132)</f>
        <v>1600575</v>
      </c>
      <c r="F128" s="3945"/>
      <c r="G128" s="3940">
        <f>SUM(G129:G132)</f>
        <v>85554.865019999997</v>
      </c>
      <c r="H128" s="3953"/>
      <c r="I128" s="3954"/>
    </row>
    <row r="129" spans="1:12">
      <c r="A129" s="3942" t="s">
        <v>29</v>
      </c>
      <c r="B129" s="3943" t="s">
        <v>2218</v>
      </c>
      <c r="C129" s="3935" t="s">
        <v>519</v>
      </c>
      <c r="D129" s="3944"/>
      <c r="E129" s="3945">
        <f>$E$45</f>
        <v>303054</v>
      </c>
      <c r="F129" s="3945">
        <v>43400</v>
      </c>
      <c r="G129" s="3945">
        <f>E129*F129*(100%+$G$193)/1000000</f>
        <v>15125.425139999998</v>
      </c>
      <c r="H129" s="3944"/>
      <c r="I129" s="3946"/>
    </row>
    <row r="130" spans="1:12">
      <c r="A130" s="3942" t="s">
        <v>29</v>
      </c>
      <c r="B130" s="3943" t="s">
        <v>2219</v>
      </c>
      <c r="C130" s="3935" t="s">
        <v>519</v>
      </c>
      <c r="D130" s="3944"/>
      <c r="E130" s="3945">
        <f>$E$46</f>
        <v>1297521</v>
      </c>
      <c r="F130" s="3945">
        <v>47200</v>
      </c>
      <c r="G130" s="3945">
        <f>E130*F130*(100%+$G$193)/1000000</f>
        <v>70429.439880000005</v>
      </c>
      <c r="H130" s="3944"/>
      <c r="I130" s="3946"/>
    </row>
    <row r="131" spans="1:12">
      <c r="A131" s="3942" t="s">
        <v>29</v>
      </c>
      <c r="B131" s="3943" t="s">
        <v>2220</v>
      </c>
      <c r="C131" s="3935" t="s">
        <v>519</v>
      </c>
      <c r="D131" s="3944"/>
      <c r="E131" s="3945">
        <f>$E$47</f>
        <v>0</v>
      </c>
      <c r="F131" s="3945">
        <v>66100</v>
      </c>
      <c r="G131" s="3945">
        <f>E131*F131*(100%+$G$193)/1000000</f>
        <v>0</v>
      </c>
      <c r="H131" s="3944"/>
      <c r="I131" s="3946"/>
    </row>
    <row r="132" spans="1:12">
      <c r="A132" s="3942" t="s">
        <v>29</v>
      </c>
      <c r="B132" s="3943" t="s">
        <v>2221</v>
      </c>
      <c r="C132" s="3935" t="s">
        <v>519</v>
      </c>
      <c r="D132" s="3944"/>
      <c r="E132" s="3945">
        <f>$E$48</f>
        <v>0</v>
      </c>
      <c r="F132" s="3945">
        <v>80200</v>
      </c>
      <c r="G132" s="3945">
        <f>E132*F132*(100%+$G$193)/1000000</f>
        <v>0</v>
      </c>
      <c r="H132" s="3944"/>
      <c r="I132" s="3946"/>
    </row>
    <row r="133" spans="1:12" s="3906" customFormat="1">
      <c r="A133" s="3938" t="s">
        <v>2301</v>
      </c>
      <c r="B133" s="3939" t="s">
        <v>2235</v>
      </c>
      <c r="C133" s="3937"/>
      <c r="D133" s="3940"/>
      <c r="E133" s="3955"/>
      <c r="F133" s="3955"/>
      <c r="G133" s="3955">
        <f>SUM(G134:G136)</f>
        <v>454828.76</v>
      </c>
      <c r="H133" s="3940"/>
      <c r="I133" s="3941"/>
    </row>
    <row r="134" spans="1:12" ht="39.6">
      <c r="A134" s="3942" t="s">
        <v>2302</v>
      </c>
      <c r="B134" s="3943" t="s">
        <v>2303</v>
      </c>
      <c r="C134" s="3935" t="s">
        <v>519</v>
      </c>
      <c r="D134" s="3944"/>
      <c r="E134" s="3944">
        <v>73290</v>
      </c>
      <c r="F134" s="3945"/>
      <c r="G134" s="3944">
        <v>438296</v>
      </c>
      <c r="H134" s="3944"/>
      <c r="I134" s="3946"/>
    </row>
    <row r="135" spans="1:12" ht="26.4">
      <c r="A135" s="3942" t="s">
        <v>2304</v>
      </c>
      <c r="B135" s="3965" t="s">
        <v>2305</v>
      </c>
      <c r="C135" s="3935" t="s">
        <v>519</v>
      </c>
      <c r="D135" s="3944"/>
      <c r="E135" s="3944">
        <v>13686</v>
      </c>
      <c r="F135" s="3961">
        <f>55000*12/1000000</f>
        <v>0.66</v>
      </c>
      <c r="G135" s="3944">
        <f>E135*F135</f>
        <v>9032.76</v>
      </c>
      <c r="H135" s="3944"/>
      <c r="I135" s="3946"/>
    </row>
    <row r="136" spans="1:12">
      <c r="A136" s="3942" t="s">
        <v>2306</v>
      </c>
      <c r="B136" s="3965" t="s">
        <v>2307</v>
      </c>
      <c r="C136" s="3935" t="s">
        <v>2308</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2309</v>
      </c>
      <c r="B138" s="3939" t="s">
        <v>2293</v>
      </c>
      <c r="C138" s="3935"/>
      <c r="D138" s="3931"/>
      <c r="E138" s="3931"/>
      <c r="F138" s="3935"/>
      <c r="G138" s="3940">
        <f>SUM(G139:G142)</f>
        <v>128846.28749999998</v>
      </c>
      <c r="H138" s="3931"/>
      <c r="I138" s="3932"/>
    </row>
    <row r="139" spans="1:12">
      <c r="A139" s="3942" t="s">
        <v>29</v>
      </c>
      <c r="B139" s="3943" t="s">
        <v>2218</v>
      </c>
      <c r="C139" s="3935" t="s">
        <v>519</v>
      </c>
      <c r="D139" s="3944"/>
      <c r="E139" s="3945">
        <f>$E$45</f>
        <v>303054</v>
      </c>
      <c r="F139" s="3945">
        <v>70000</v>
      </c>
      <c r="G139" s="3945">
        <f>E139*F139*(100%+$G$193)/1000000</f>
        <v>24395.847000000002</v>
      </c>
      <c r="H139" s="3944"/>
      <c r="I139" s="3946"/>
    </row>
    <row r="140" spans="1:12">
      <c r="A140" s="3942" t="s">
        <v>29</v>
      </c>
      <c r="B140" s="3943" t="s">
        <v>2219</v>
      </c>
      <c r="C140" s="3935" t="s">
        <v>519</v>
      </c>
      <c r="D140" s="3944"/>
      <c r="E140" s="3945">
        <f>$E$46</f>
        <v>1297521</v>
      </c>
      <c r="F140" s="3945">
        <v>70000</v>
      </c>
      <c r="G140" s="3945">
        <f>E140*F140*(100%+$G$193)/1000000</f>
        <v>104450.44049999998</v>
      </c>
      <c r="H140" s="3944"/>
      <c r="I140" s="3946"/>
    </row>
    <row r="141" spans="1:12">
      <c r="A141" s="3942" t="s">
        <v>29</v>
      </c>
      <c r="B141" s="3943" t="s">
        <v>2220</v>
      </c>
      <c r="C141" s="3935" t="s">
        <v>519</v>
      </c>
      <c r="D141" s="3944"/>
      <c r="E141" s="3945">
        <f>$E$47</f>
        <v>0</v>
      </c>
      <c r="F141" s="3945">
        <v>97900</v>
      </c>
      <c r="G141" s="3945">
        <f>E141*F141*(100%+$G$193)/1000000</f>
        <v>0</v>
      </c>
      <c r="H141" s="3944"/>
      <c r="I141" s="3946"/>
    </row>
    <row r="142" spans="1:12">
      <c r="A142" s="3942" t="s">
        <v>29</v>
      </c>
      <c r="B142" s="3943" t="s">
        <v>2221</v>
      </c>
      <c r="C142" s="3935" t="s">
        <v>519</v>
      </c>
      <c r="D142" s="3944"/>
      <c r="E142" s="3945">
        <f>$E$48</f>
        <v>0</v>
      </c>
      <c r="F142" s="3945">
        <v>139900</v>
      </c>
      <c r="G142" s="3945">
        <f>E142*F142*(100%+$G$193)/1000000</f>
        <v>0</v>
      </c>
      <c r="H142" s="3944"/>
      <c r="I142" s="3946"/>
    </row>
    <row r="143" spans="1:12">
      <c r="A143" s="3938" t="s">
        <v>2310</v>
      </c>
      <c r="B143" s="3939" t="s">
        <v>2311</v>
      </c>
      <c r="C143" s="3935"/>
      <c r="D143" s="3944"/>
      <c r="E143" s="3944"/>
      <c r="F143" s="3945"/>
      <c r="G143" s="3940">
        <f>SUM(G144:G145)</f>
        <v>12000</v>
      </c>
      <c r="H143" s="3944"/>
      <c r="I143" s="3946"/>
    </row>
    <row r="144" spans="1:12">
      <c r="A144" s="3938" t="s">
        <v>29</v>
      </c>
      <c r="B144" s="3943" t="s">
        <v>2312</v>
      </c>
      <c r="C144" s="3935" t="s">
        <v>556</v>
      </c>
      <c r="D144" s="3944"/>
      <c r="E144" s="3944">
        <v>8</v>
      </c>
      <c r="F144" s="3945">
        <v>1500</v>
      </c>
      <c r="G144" s="3945">
        <f>E144*F144</f>
        <v>12000</v>
      </c>
      <c r="H144" s="3944"/>
      <c r="I144" s="3946"/>
    </row>
    <row r="145" spans="1:12">
      <c r="A145" s="3938" t="s">
        <v>29</v>
      </c>
      <c r="B145" s="3943" t="s">
        <v>2313</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2314</v>
      </c>
      <c r="B147" s="3939" t="s">
        <v>2293</v>
      </c>
      <c r="C147" s="3935"/>
      <c r="D147" s="3931"/>
      <c r="E147" s="3931"/>
      <c r="F147" s="3935"/>
      <c r="G147" s="3940">
        <f>SUM(G148:G151)</f>
        <v>59301.818159999995</v>
      </c>
      <c r="H147" s="3931"/>
      <c r="I147" s="3932"/>
    </row>
    <row r="148" spans="1:12">
      <c r="A148" s="3942" t="s">
        <v>29</v>
      </c>
      <c r="B148" s="3943" t="s">
        <v>2218</v>
      </c>
      <c r="C148" s="3935" t="s">
        <v>519</v>
      </c>
      <c r="D148" s="3944"/>
      <c r="E148" s="3945">
        <f>$E$45</f>
        <v>303054</v>
      </c>
      <c r="F148" s="3945">
        <v>40000</v>
      </c>
      <c r="G148" s="3945">
        <f>E148*F148*(100%+$G$193)/1000000</f>
        <v>13940.483999999999</v>
      </c>
      <c r="H148" s="3944"/>
      <c r="I148" s="3946"/>
    </row>
    <row r="149" spans="1:12">
      <c r="A149" s="3942" t="s">
        <v>29</v>
      </c>
      <c r="B149" s="3943" t="s">
        <v>2219</v>
      </c>
      <c r="C149" s="3935" t="s">
        <v>519</v>
      </c>
      <c r="D149" s="3944"/>
      <c r="E149" s="3945">
        <f>$E$46</f>
        <v>1297521</v>
      </c>
      <c r="F149" s="3945">
        <v>30400</v>
      </c>
      <c r="G149" s="3945">
        <f>E149*F149*(100%+$G$193)/1000000</f>
        <v>45361.334159999999</v>
      </c>
      <c r="H149" s="3944"/>
      <c r="I149" s="3946"/>
    </row>
    <row r="150" spans="1:12">
      <c r="A150" s="3942" t="s">
        <v>29</v>
      </c>
      <c r="B150" s="3943" t="s">
        <v>2220</v>
      </c>
      <c r="C150" s="3935" t="s">
        <v>519</v>
      </c>
      <c r="D150" s="3944"/>
      <c r="E150" s="3945">
        <f>$E$47</f>
        <v>0</v>
      </c>
      <c r="F150" s="3945">
        <v>42500</v>
      </c>
      <c r="G150" s="3945">
        <f>E150*F150*(100%+$G$193)/1000000</f>
        <v>0</v>
      </c>
      <c r="H150" s="3944"/>
      <c r="I150" s="3946"/>
    </row>
    <row r="151" spans="1:12">
      <c r="A151" s="3942" t="s">
        <v>29</v>
      </c>
      <c r="B151" s="3943" t="s">
        <v>2221</v>
      </c>
      <c r="C151" s="3935" t="s">
        <v>519</v>
      </c>
      <c r="D151" s="3944"/>
      <c r="E151" s="3945">
        <f>$E$48</f>
        <v>0</v>
      </c>
      <c r="F151" s="3945">
        <v>60700</v>
      </c>
      <c r="G151" s="3945">
        <f>E151*F151*(100%+$G$193)/1000000</f>
        <v>0</v>
      </c>
      <c r="H151" s="3944"/>
      <c r="I151" s="3946"/>
    </row>
    <row r="152" spans="1:12">
      <c r="A152" s="3938" t="s">
        <v>2315</v>
      </c>
      <c r="B152" s="3939" t="s">
        <v>2311</v>
      </c>
      <c r="C152" s="3935"/>
      <c r="D152" s="3944"/>
      <c r="E152" s="3944"/>
      <c r="F152" s="3944"/>
      <c r="G152" s="3940">
        <f>SUM(G153:G154)</f>
        <v>12000</v>
      </c>
      <c r="H152" s="3944"/>
      <c r="I152" s="3946"/>
    </row>
    <row r="153" spans="1:12">
      <c r="A153" s="3942" t="s">
        <v>29</v>
      </c>
      <c r="B153" s="3943" t="s">
        <v>2312</v>
      </c>
      <c r="C153" s="3935" t="s">
        <v>556</v>
      </c>
      <c r="D153" s="3944"/>
      <c r="E153" s="3944">
        <v>8</v>
      </c>
      <c r="F153" s="3944">
        <v>1500</v>
      </c>
      <c r="G153" s="3944">
        <f>E153*F153</f>
        <v>12000</v>
      </c>
      <c r="H153" s="3944"/>
      <c r="I153" s="3946"/>
    </row>
    <row r="154" spans="1:12">
      <c r="A154" s="3938" t="s">
        <v>29</v>
      </c>
      <c r="B154" s="3943" t="s">
        <v>2313</v>
      </c>
      <c r="C154" s="3935" t="s">
        <v>556</v>
      </c>
      <c r="D154" s="3944"/>
      <c r="E154" s="3945">
        <f>8-E153</f>
        <v>0</v>
      </c>
      <c r="F154" s="3944">
        <v>5000</v>
      </c>
      <c r="G154" s="3940">
        <f>E154*F154</f>
        <v>0</v>
      </c>
      <c r="H154" s="3944"/>
      <c r="I154" s="3946"/>
    </row>
    <row r="155" spans="1:12" s="3936" customFormat="1">
      <c r="A155" s="3933">
        <v>10</v>
      </c>
      <c r="B155" s="3934" t="s">
        <v>2316</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1729</v>
      </c>
      <c r="C156" s="3935"/>
      <c r="D156" s="3931"/>
      <c r="E156" s="3931"/>
      <c r="F156" s="3931"/>
      <c r="G156" s="3931">
        <f>SUM(G157,G162)</f>
        <v>1561384.5147799999</v>
      </c>
      <c r="H156" s="3931"/>
      <c r="I156" s="3932"/>
    </row>
    <row r="157" spans="1:12" s="3936" customFormat="1">
      <c r="A157" s="3938" t="s">
        <v>2317</v>
      </c>
      <c r="B157" s="3939" t="s">
        <v>2293</v>
      </c>
      <c r="C157" s="3935"/>
      <c r="D157" s="3931"/>
      <c r="E157" s="3931"/>
      <c r="F157" s="3937"/>
      <c r="G157" s="3940">
        <f>SUM(G158:G161)</f>
        <v>783680.51477999997</v>
      </c>
      <c r="H157" s="3931"/>
      <c r="I157" s="3932"/>
    </row>
    <row r="158" spans="1:12" s="3952" customFormat="1">
      <c r="A158" s="3942" t="s">
        <v>29</v>
      </c>
      <c r="B158" s="3943" t="s">
        <v>2218</v>
      </c>
      <c r="C158" s="3935" t="s">
        <v>519</v>
      </c>
      <c r="D158" s="3953"/>
      <c r="E158" s="3945">
        <f>$E$45</f>
        <v>303054</v>
      </c>
      <c r="F158" s="3945">
        <v>372500</v>
      </c>
      <c r="G158" s="3945">
        <f>E158*F158*(100%+$G$193)/1000000</f>
        <v>129820.75724999998</v>
      </c>
      <c r="H158" s="3953"/>
      <c r="I158" s="3954"/>
    </row>
    <row r="159" spans="1:12" s="3952" customFormat="1">
      <c r="A159" s="3942" t="s">
        <v>29</v>
      </c>
      <c r="B159" s="3943" t="s">
        <v>2219</v>
      </c>
      <c r="C159" s="3935" t="s">
        <v>519</v>
      </c>
      <c r="D159" s="3953"/>
      <c r="E159" s="3945">
        <f>$E$46</f>
        <v>1297521</v>
      </c>
      <c r="F159" s="3945">
        <v>438200</v>
      </c>
      <c r="G159" s="3945">
        <f>E159*F159*(100%+$G$193)/1000000</f>
        <v>653859.75752999994</v>
      </c>
      <c r="H159" s="3953"/>
      <c r="I159" s="3954"/>
    </row>
    <row r="160" spans="1:12" s="3952" customFormat="1">
      <c r="A160" s="3942" t="s">
        <v>29</v>
      </c>
      <c r="B160" s="3943" t="s">
        <v>2220</v>
      </c>
      <c r="C160" s="3935" t="s">
        <v>519</v>
      </c>
      <c r="D160" s="3953"/>
      <c r="E160" s="3945">
        <f>$E$47</f>
        <v>0</v>
      </c>
      <c r="F160" s="3945">
        <v>657300</v>
      </c>
      <c r="G160" s="3945">
        <f>E160*F160*(100%+$G$193)/1000000</f>
        <v>0</v>
      </c>
      <c r="H160" s="3953"/>
      <c r="I160" s="3954"/>
    </row>
    <row r="161" spans="1:9" s="3952" customFormat="1">
      <c r="A161" s="3942" t="s">
        <v>29</v>
      </c>
      <c r="B161" s="3943" t="s">
        <v>2221</v>
      </c>
      <c r="C161" s="3935" t="s">
        <v>519</v>
      </c>
      <c r="D161" s="3953"/>
      <c r="E161" s="3945">
        <f>$E$48</f>
        <v>0</v>
      </c>
      <c r="F161" s="3945">
        <v>876400</v>
      </c>
      <c r="G161" s="3945">
        <f>E161*F161*(100%+$G$193)/1000000</f>
        <v>0</v>
      </c>
      <c r="H161" s="3953"/>
      <c r="I161" s="3954"/>
    </row>
    <row r="162" spans="1:9" s="3936" customFormat="1">
      <c r="A162" s="3938" t="s">
        <v>2318</v>
      </c>
      <c r="B162" s="3939" t="s">
        <v>2235</v>
      </c>
      <c r="C162" s="3937"/>
      <c r="D162" s="3931"/>
      <c r="E162" s="3955"/>
      <c r="F162" s="3955"/>
      <c r="G162" s="3955">
        <f>SUM(G163,G164,G165,G171)</f>
        <v>777704</v>
      </c>
      <c r="H162" s="3931"/>
      <c r="I162" s="3932"/>
    </row>
    <row r="163" spans="1:9" s="3952" customFormat="1" ht="26.4">
      <c r="A163" s="3942" t="s">
        <v>2319</v>
      </c>
      <c r="B163" s="3943" t="s">
        <v>2320</v>
      </c>
      <c r="C163" s="3935"/>
      <c r="D163" s="3953"/>
      <c r="E163" s="3945"/>
      <c r="F163" s="3961"/>
      <c r="G163" s="3945">
        <v>215162</v>
      </c>
      <c r="H163" s="3953"/>
      <c r="I163" s="3954"/>
    </row>
    <row r="164" spans="1:9" s="3952" customFormat="1" ht="52.8">
      <c r="A164" s="3942" t="s">
        <v>2321</v>
      </c>
      <c r="B164" s="3943" t="s">
        <v>2322</v>
      </c>
      <c r="C164" s="3935"/>
      <c r="D164" s="3953"/>
      <c r="E164" s="3945">
        <f>195279</f>
        <v>195279</v>
      </c>
      <c r="F164" s="3969">
        <v>1</v>
      </c>
      <c r="G164" s="3945">
        <f>F164*E164</f>
        <v>195279</v>
      </c>
      <c r="H164" s="3953"/>
      <c r="I164" s="3954"/>
    </row>
    <row r="165" spans="1:9" s="3952" customFormat="1">
      <c r="A165" s="3942" t="s">
        <v>2323</v>
      </c>
      <c r="B165" s="3943" t="s">
        <v>2324</v>
      </c>
      <c r="C165" s="3935"/>
      <c r="D165" s="3953"/>
      <c r="E165" s="3953"/>
      <c r="F165" s="3935"/>
      <c r="G165" s="3944">
        <f>SUM(G166:G170)</f>
        <v>364000</v>
      </c>
      <c r="H165" s="3953"/>
      <c r="I165" s="3954"/>
    </row>
    <row r="166" spans="1:9">
      <c r="A166" s="3942" t="s">
        <v>29</v>
      </c>
      <c r="B166" s="3943" t="s">
        <v>2325</v>
      </c>
      <c r="C166" s="3935" t="s">
        <v>539</v>
      </c>
      <c r="D166" s="3944"/>
      <c r="E166" s="3944">
        <v>0</v>
      </c>
      <c r="F166" s="3970">
        <v>140000</v>
      </c>
      <c r="G166" s="3945">
        <f>E166*F166</f>
        <v>0</v>
      </c>
      <c r="H166" s="3944"/>
      <c r="I166" s="3946"/>
    </row>
    <row r="167" spans="1:9">
      <c r="A167" s="3942" t="s">
        <v>29</v>
      </c>
      <c r="B167" s="3943" t="s">
        <v>2326</v>
      </c>
      <c r="C167" s="3935" t="s">
        <v>539</v>
      </c>
      <c r="D167" s="3944"/>
      <c r="E167" s="3944">
        <v>2</v>
      </c>
      <c r="F167" s="3970">
        <v>85000</v>
      </c>
      <c r="G167" s="3945">
        <f>E167*F167</f>
        <v>170000</v>
      </c>
      <c r="H167" s="3944"/>
      <c r="I167" s="3946"/>
    </row>
    <row r="168" spans="1:9">
      <c r="A168" s="3942" t="s">
        <v>29</v>
      </c>
      <c r="B168" s="3943" t="s">
        <v>2327</v>
      </c>
      <c r="C168" s="3935" t="s">
        <v>539</v>
      </c>
      <c r="D168" s="3944"/>
      <c r="E168" s="3944">
        <v>1</v>
      </c>
      <c r="F168" s="3970">
        <v>24000</v>
      </c>
      <c r="G168" s="3945">
        <f>E168*F168</f>
        <v>24000</v>
      </c>
      <c r="H168" s="3944"/>
      <c r="I168" s="3946"/>
    </row>
    <row r="169" spans="1:9">
      <c r="A169" s="3942" t="s">
        <v>29</v>
      </c>
      <c r="B169" s="3943" t="s">
        <v>2328</v>
      </c>
      <c r="C169" s="3935" t="s">
        <v>539</v>
      </c>
      <c r="D169" s="3944"/>
      <c r="E169" s="3944">
        <v>3</v>
      </c>
      <c r="F169" s="3970">
        <v>17000</v>
      </c>
      <c r="G169" s="3945">
        <f>E169*F169</f>
        <v>51000</v>
      </c>
      <c r="H169" s="3944"/>
      <c r="I169" s="3946"/>
    </row>
    <row r="170" spans="1:9">
      <c r="A170" s="3942" t="s">
        <v>29</v>
      </c>
      <c r="B170" s="3943" t="s">
        <v>2329</v>
      </c>
      <c r="C170" s="3935" t="s">
        <v>539</v>
      </c>
      <c r="D170" s="3944"/>
      <c r="E170" s="3944">
        <v>14</v>
      </c>
      <c r="F170" s="3970">
        <v>8500</v>
      </c>
      <c r="G170" s="3945">
        <f>E170*F170</f>
        <v>119000</v>
      </c>
      <c r="H170" s="3944"/>
      <c r="I170" s="3946"/>
    </row>
    <row r="171" spans="1:9">
      <c r="A171" s="3942" t="s">
        <v>2330</v>
      </c>
      <c r="B171" s="3943" t="s">
        <v>2331</v>
      </c>
      <c r="C171" s="3935" t="s">
        <v>2332</v>
      </c>
      <c r="D171" s="3944"/>
      <c r="E171" s="3971">
        <v>66.900000000000006</v>
      </c>
      <c r="F171" s="3970">
        <v>30</v>
      </c>
      <c r="G171" s="3945">
        <v>3263</v>
      </c>
      <c r="H171" s="3944"/>
      <c r="I171" s="3946"/>
    </row>
    <row r="172" spans="1:9" s="3936" customFormat="1">
      <c r="A172" s="3933">
        <v>12</v>
      </c>
      <c r="B172" s="3934" t="s">
        <v>2094</v>
      </c>
      <c r="C172" s="3935"/>
      <c r="D172" s="3931"/>
      <c r="E172" s="3931"/>
      <c r="F172" s="3931"/>
      <c r="G172" s="3931">
        <v>59674</v>
      </c>
      <c r="H172" s="3931"/>
      <c r="I172" s="3932"/>
    </row>
    <row r="173" spans="1:9">
      <c r="A173" s="3942" t="s">
        <v>2333</v>
      </c>
      <c r="B173" s="3943" t="s">
        <v>2334</v>
      </c>
      <c r="C173" s="3935"/>
      <c r="D173" s="3944"/>
      <c r="E173" s="3972">
        <f>E174+E179</f>
        <v>3.3551886290322583</v>
      </c>
      <c r="F173" s="3973">
        <v>0.48</v>
      </c>
      <c r="G173" s="3944"/>
      <c r="H173" s="3944"/>
      <c r="I173" s="3946"/>
    </row>
    <row r="174" spans="1:9">
      <c r="A174" s="3942" t="s">
        <v>99</v>
      </c>
      <c r="B174" s="3943" t="s">
        <v>2335</v>
      </c>
      <c r="C174" s="3935"/>
      <c r="D174" s="3944"/>
      <c r="E174" s="3972">
        <f>E175*15+E176*7+E177*2+E178*1</f>
        <v>1.7546136290322583</v>
      </c>
      <c r="F174" s="3944"/>
      <c r="G174" s="3944"/>
      <c r="H174" s="3944"/>
      <c r="I174" s="3946"/>
    </row>
    <row r="175" spans="1:9" s="3980" customFormat="1">
      <c r="A175" s="3974" t="s">
        <v>29</v>
      </c>
      <c r="B175" s="3975" t="s">
        <v>2336</v>
      </c>
      <c r="C175" s="3976" t="s">
        <v>519</v>
      </c>
      <c r="D175" s="3977"/>
      <c r="E175" s="3978"/>
      <c r="F175" s="3977">
        <v>15</v>
      </c>
      <c r="G175" s="3977"/>
      <c r="H175" s="3977"/>
      <c r="I175" s="3979"/>
    </row>
    <row r="176" spans="1:9" s="3980" customFormat="1">
      <c r="A176" s="3974" t="s">
        <v>29</v>
      </c>
      <c r="B176" s="3975" t="s">
        <v>2337</v>
      </c>
      <c r="C176" s="3976" t="s">
        <v>519</v>
      </c>
      <c r="D176" s="3977"/>
      <c r="E176" s="3978"/>
      <c r="F176" s="3977">
        <v>7</v>
      </c>
      <c r="G176" s="3977"/>
      <c r="H176" s="3977"/>
      <c r="I176" s="3979"/>
    </row>
    <row r="177" spans="1:9" s="3980" customFormat="1">
      <c r="A177" s="3974" t="s">
        <v>29</v>
      </c>
      <c r="B177" s="3975" t="s">
        <v>2338</v>
      </c>
      <c r="C177" s="3976" t="s">
        <v>519</v>
      </c>
      <c r="D177" s="3977"/>
      <c r="E177" s="3978">
        <f>154038.629032258/1000000</f>
        <v>0.15403862903225801</v>
      </c>
      <c r="F177" s="3977">
        <v>2</v>
      </c>
      <c r="G177" s="3977"/>
      <c r="H177" s="3977"/>
      <c r="I177" s="3979"/>
    </row>
    <row r="178" spans="1:9" s="3980" customFormat="1">
      <c r="A178" s="3974" t="s">
        <v>29</v>
      </c>
      <c r="B178" s="3975" t="s">
        <v>2339</v>
      </c>
      <c r="C178" s="3976" t="s">
        <v>519</v>
      </c>
      <c r="D178" s="3977"/>
      <c r="E178" s="3978">
        <f>E44/1000000-SUM(E175:E177)</f>
        <v>1.4465363709677421</v>
      </c>
      <c r="F178" s="3977">
        <v>1</v>
      </c>
      <c r="G178" s="3977"/>
      <c r="H178" s="3977"/>
      <c r="I178" s="3979"/>
    </row>
    <row r="179" spans="1:9">
      <c r="A179" s="3942" t="s">
        <v>101</v>
      </c>
      <c r="B179" s="3943" t="s">
        <v>2340</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2341</v>
      </c>
      <c r="C180" s="3976"/>
      <c r="D180" s="3977"/>
      <c r="E180" s="3978"/>
      <c r="F180" s="3977">
        <v>15</v>
      </c>
      <c r="G180" s="3977"/>
      <c r="H180" s="3977"/>
      <c r="I180" s="3979"/>
    </row>
    <row r="181" spans="1:9" s="3980" customFormat="1">
      <c r="A181" s="3974" t="s">
        <v>29</v>
      </c>
      <c r="B181" s="3975" t="s">
        <v>2342</v>
      </c>
      <c r="C181" s="3976"/>
      <c r="D181" s="3977"/>
      <c r="E181" s="3978"/>
      <c r="F181" s="3977">
        <v>6</v>
      </c>
      <c r="G181" s="3977"/>
      <c r="H181" s="3977"/>
      <c r="I181" s="3979"/>
    </row>
    <row r="182" spans="1:9" s="3980" customFormat="1">
      <c r="A182" s="3974" t="s">
        <v>29</v>
      </c>
      <c r="B182" s="3975" t="s">
        <v>2343</v>
      </c>
      <c r="C182" s="3976"/>
      <c r="D182" s="3977"/>
      <c r="E182" s="3978"/>
      <c r="F182" s="3977">
        <v>2.5</v>
      </c>
      <c r="G182" s="3977"/>
      <c r="H182" s="3977"/>
      <c r="I182" s="3979"/>
    </row>
    <row r="183" spans="1:9" s="3980" customFormat="1">
      <c r="A183" s="3974" t="s">
        <v>29</v>
      </c>
      <c r="B183" s="3975" t="s">
        <v>2344</v>
      </c>
      <c r="C183" s="3976"/>
      <c r="D183" s="3977"/>
      <c r="E183" s="3981"/>
      <c r="F183" s="3977">
        <v>1.8</v>
      </c>
      <c r="G183" s="3977"/>
      <c r="H183" s="3977"/>
      <c r="I183" s="3979"/>
    </row>
    <row r="184" spans="1:9" s="3980" customFormat="1">
      <c r="A184" s="3974" t="s">
        <v>29</v>
      </c>
      <c r="B184" s="3975" t="s">
        <v>2345</v>
      </c>
      <c r="C184" s="3976"/>
      <c r="D184" s="3977"/>
      <c r="E184" s="3981"/>
      <c r="F184" s="3977">
        <v>1</v>
      </c>
      <c r="G184" s="3977"/>
      <c r="H184" s="3977"/>
      <c r="I184" s="3979"/>
    </row>
    <row r="185" spans="1:9">
      <c r="A185" s="3942" t="s">
        <v>2346</v>
      </c>
      <c r="B185" s="3943" t="s">
        <v>2347</v>
      </c>
      <c r="C185" s="3935" t="s">
        <v>2348</v>
      </c>
      <c r="D185" s="3944"/>
      <c r="E185" s="3944">
        <v>17037772</v>
      </c>
      <c r="F185" s="3973">
        <v>0.3</v>
      </c>
      <c r="G185" s="3945"/>
      <c r="H185" s="3944"/>
      <c r="I185" s="3946"/>
    </row>
    <row r="186" spans="1:9">
      <c r="A186" s="3942" t="s">
        <v>2349</v>
      </c>
      <c r="B186" s="3943" t="s">
        <v>2350</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2351</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2352</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2353</v>
      </c>
      <c r="C192" s="3998"/>
      <c r="D192" s="3998"/>
      <c r="E192" s="3998"/>
      <c r="F192" s="3998"/>
      <c r="G192" s="3999"/>
      <c r="H192" s="4000"/>
      <c r="I192" s="4001"/>
    </row>
    <row r="193" spans="1:9">
      <c r="A193" s="4002">
        <v>1</v>
      </c>
      <c r="B193" s="6266" t="s">
        <v>2354</v>
      </c>
      <c r="C193" s="6267"/>
      <c r="D193" s="6268"/>
      <c r="E193" s="4003"/>
      <c r="F193" s="4003"/>
      <c r="G193" s="4004">
        <v>0.15</v>
      </c>
      <c r="H193" s="4005"/>
      <c r="I193" s="3995"/>
    </row>
    <row r="194" spans="1:9">
      <c r="A194" s="4002">
        <f>A193+1</f>
        <v>2</v>
      </c>
      <c r="B194" s="6266" t="s">
        <v>2355</v>
      </c>
      <c r="C194" s="6267"/>
      <c r="D194" s="6268"/>
      <c r="E194" s="4003"/>
      <c r="F194" s="4003"/>
      <c r="G194" s="4006">
        <v>2599960</v>
      </c>
      <c r="H194" s="4005"/>
      <c r="I194" s="3995"/>
    </row>
    <row r="195" spans="1:9">
      <c r="A195" s="4002">
        <f>A194+1</f>
        <v>3</v>
      </c>
      <c r="B195" s="6266" t="s">
        <v>2356</v>
      </c>
      <c r="C195" s="6267"/>
      <c r="D195" s="6268"/>
      <c r="E195" s="4003"/>
      <c r="F195" s="4003"/>
      <c r="G195" s="4007">
        <v>392.92</v>
      </c>
      <c r="H195" s="4005"/>
      <c r="I195" s="3995"/>
    </row>
    <row r="196" spans="1:9">
      <c r="A196" s="4002">
        <f>A195+1</f>
        <v>4</v>
      </c>
      <c r="B196" s="6266" t="s">
        <v>2357</v>
      </c>
      <c r="C196" s="6267"/>
      <c r="D196" s="6268"/>
      <c r="E196" s="4003"/>
      <c r="F196" s="4003"/>
      <c r="G196" s="4006">
        <v>416863.19</v>
      </c>
      <c r="H196" s="4005"/>
      <c r="I196" s="3995"/>
    </row>
    <row r="197" spans="1:9">
      <c r="A197" s="4002">
        <f>A196+1</f>
        <v>5</v>
      </c>
      <c r="B197" s="6266" t="s">
        <v>2358</v>
      </c>
      <c r="C197" s="6267"/>
      <c r="D197" s="6268"/>
      <c r="E197" s="4003"/>
      <c r="F197" s="4003"/>
      <c r="G197" s="4006">
        <v>2360659</v>
      </c>
      <c r="H197" s="4005"/>
      <c r="I197" s="3995"/>
    </row>
    <row r="198" spans="1:9">
      <c r="A198" s="4002">
        <f>A197+1</f>
        <v>6</v>
      </c>
      <c r="B198" s="6266" t="s">
        <v>2359</v>
      </c>
      <c r="C198" s="6267"/>
      <c r="D198" s="6268"/>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283" t="s">
        <v>2866</v>
      </c>
      <c r="B1" s="6283"/>
    </row>
    <row r="3" spans="1:8">
      <c r="A3" s="6284" t="s">
        <v>2867</v>
      </c>
      <c r="B3" s="6283"/>
      <c r="C3" s="6283"/>
      <c r="D3" s="6283"/>
      <c r="E3" s="6283"/>
      <c r="F3" s="6283"/>
      <c r="G3" s="6283"/>
      <c r="H3" s="6283"/>
    </row>
    <row r="5" spans="1:8" ht="18.600000000000001" thickBot="1">
      <c r="H5" s="4571" t="s">
        <v>246</v>
      </c>
    </row>
    <row r="6" spans="1:8" s="596" customFormat="1">
      <c r="A6" s="6275" t="s">
        <v>247</v>
      </c>
      <c r="B6" s="6285" t="s">
        <v>2868</v>
      </c>
      <c r="C6" s="6285" t="s">
        <v>2869</v>
      </c>
      <c r="D6" s="6285" t="s">
        <v>2870</v>
      </c>
      <c r="E6" s="6285" t="s">
        <v>2871</v>
      </c>
      <c r="F6" s="6285" t="s">
        <v>2872</v>
      </c>
      <c r="G6" s="6285"/>
      <c r="H6" s="6286" t="s">
        <v>2873</v>
      </c>
    </row>
    <row r="7" spans="1:8" s="596" customFormat="1" ht="34.799999999999997">
      <c r="A7" s="6276"/>
      <c r="B7" s="6046"/>
      <c r="C7" s="6046"/>
      <c r="D7" s="6046"/>
      <c r="E7" s="6046"/>
      <c r="F7" s="430" t="s">
        <v>375</v>
      </c>
      <c r="G7" s="430" t="s">
        <v>2874</v>
      </c>
      <c r="H7" s="6287"/>
    </row>
    <row r="8" spans="1:8" s="641" customFormat="1" ht="17.399999999999999">
      <c r="A8" s="4572">
        <v>1</v>
      </c>
      <c r="B8" s="2239">
        <v>2</v>
      </c>
      <c r="C8" s="2239">
        <v>3</v>
      </c>
      <c r="D8" s="2239">
        <v>4</v>
      </c>
      <c r="E8" s="2239">
        <v>5</v>
      </c>
      <c r="F8" s="2239">
        <v>6</v>
      </c>
      <c r="G8" s="2239">
        <v>7</v>
      </c>
      <c r="H8" s="4573">
        <v>8</v>
      </c>
    </row>
    <row r="9" spans="1:8" s="386" customFormat="1" ht="17.399999999999999">
      <c r="A9" s="4574"/>
      <c r="B9" s="3861" t="s">
        <v>54</v>
      </c>
      <c r="C9" s="4575">
        <f>SUM(C10:C30)</f>
        <v>3426.3999999999996</v>
      </c>
      <c r="D9" s="4575">
        <f t="shared" ref="D9:G9" si="0">SUM(D10:D30)</f>
        <v>7517.78</v>
      </c>
      <c r="E9" s="4576">
        <f t="shared" si="0"/>
        <v>30660.991999999998</v>
      </c>
      <c r="F9" s="4576">
        <f t="shared" si="0"/>
        <v>19480.103999999999</v>
      </c>
      <c r="G9" s="4576">
        <f t="shared" si="0"/>
        <v>49557.479999999996</v>
      </c>
      <c r="H9" s="4577"/>
    </row>
    <row r="10" spans="1:8">
      <c r="A10" s="4578">
        <v>1</v>
      </c>
      <c r="B10" s="4579" t="s">
        <v>2875</v>
      </c>
      <c r="C10" s="4579">
        <v>80</v>
      </c>
      <c r="D10" s="4579">
        <v>80</v>
      </c>
      <c r="E10" s="4580">
        <f>5.3*C10*1.2+30</f>
        <v>538.79999999999995</v>
      </c>
      <c r="F10" s="4581"/>
      <c r="G10" s="4581"/>
      <c r="H10" s="4582" t="s">
        <v>2876</v>
      </c>
    </row>
    <row r="11" spans="1:8">
      <c r="A11" s="4578">
        <v>2</v>
      </c>
      <c r="B11" s="4579" t="s">
        <v>2875</v>
      </c>
      <c r="C11" s="4579">
        <v>97.2</v>
      </c>
      <c r="D11" s="4579">
        <v>80</v>
      </c>
      <c r="E11" s="4580">
        <f>5.3*C11*1.2+30</f>
        <v>648.19199999999989</v>
      </c>
      <c r="F11" s="4581"/>
      <c r="G11" s="4581"/>
      <c r="H11" s="4582" t="s">
        <v>2876</v>
      </c>
    </row>
    <row r="12" spans="1:8">
      <c r="A12" s="4578">
        <v>3</v>
      </c>
      <c r="B12" s="4579" t="s">
        <v>2875</v>
      </c>
      <c r="C12" s="4579">
        <v>100</v>
      </c>
      <c r="D12" s="4579">
        <v>80</v>
      </c>
      <c r="E12" s="4580">
        <f>5.3*C12*1.2</f>
        <v>636</v>
      </c>
      <c r="F12" s="4581"/>
      <c r="G12" s="4581"/>
      <c r="H12" s="4582" t="s">
        <v>2876</v>
      </c>
    </row>
    <row r="13" spans="1:8">
      <c r="A13" s="6281">
        <v>4</v>
      </c>
      <c r="B13" s="6282" t="s">
        <v>2877</v>
      </c>
      <c r="C13" s="4579">
        <v>163.69999999999999</v>
      </c>
      <c r="D13" s="4579">
        <v>326</v>
      </c>
      <c r="E13" s="4580">
        <f>32*C13*1.2+100</f>
        <v>6386.079999999999</v>
      </c>
      <c r="F13" s="4581"/>
      <c r="G13" s="4581"/>
      <c r="H13" s="4582" t="s">
        <v>2876</v>
      </c>
    </row>
    <row r="14" spans="1:8">
      <c r="A14" s="6281"/>
      <c r="B14" s="6282"/>
      <c r="C14" s="4579">
        <v>269.10000000000002</v>
      </c>
      <c r="D14" s="4579">
        <v>686</v>
      </c>
      <c r="E14" s="4580">
        <f>32*C14*1.2+100</f>
        <v>10433.44</v>
      </c>
      <c r="F14" s="4581"/>
      <c r="G14" s="4581"/>
      <c r="H14" s="4582" t="s">
        <v>2876</v>
      </c>
    </row>
    <row r="15" spans="1:8">
      <c r="A15" s="4578">
        <v>5</v>
      </c>
      <c r="B15" s="4579" t="s">
        <v>2878</v>
      </c>
      <c r="C15" s="4579">
        <v>67.7</v>
      </c>
      <c r="D15" s="4579">
        <v>136.91999999999999</v>
      </c>
      <c r="E15" s="4580">
        <f>32*C15*1.2+100</f>
        <v>2699.68</v>
      </c>
      <c r="F15" s="4581"/>
      <c r="G15" s="4581"/>
      <c r="H15" s="4582" t="s">
        <v>2876</v>
      </c>
    </row>
    <row r="16" spans="1:8" ht="36">
      <c r="A16" s="4578">
        <v>6</v>
      </c>
      <c r="B16" s="4579" t="s">
        <v>2879</v>
      </c>
      <c r="C16" s="4579">
        <v>48.8</v>
      </c>
      <c r="D16" s="4579">
        <v>210</v>
      </c>
      <c r="E16" s="4580">
        <f>15*C16*1.2+30</f>
        <v>908.4</v>
      </c>
      <c r="F16" s="4581"/>
      <c r="G16" s="4581"/>
      <c r="H16" s="4582" t="s">
        <v>2876</v>
      </c>
    </row>
    <row r="17" spans="1:8">
      <c r="A17" s="4578">
        <v>7</v>
      </c>
      <c r="B17" s="4579" t="s">
        <v>2880</v>
      </c>
      <c r="C17" s="4579">
        <v>206</v>
      </c>
      <c r="D17" s="4579">
        <v>654</v>
      </c>
      <c r="E17" s="4580">
        <f>32*C17*1.2+500</f>
        <v>8410.4</v>
      </c>
      <c r="F17" s="4580"/>
      <c r="G17" s="4581"/>
      <c r="H17" s="4582" t="s">
        <v>2876</v>
      </c>
    </row>
    <row r="18" spans="1:8">
      <c r="A18" s="4578">
        <v>8</v>
      </c>
      <c r="B18" s="4579" t="s">
        <v>2881</v>
      </c>
      <c r="C18" s="4579">
        <v>56.8</v>
      </c>
      <c r="D18" s="4579">
        <v>233.2</v>
      </c>
      <c r="E18" s="4583"/>
      <c r="F18" s="4580">
        <f>C18*32*1.2+100</f>
        <v>2281.12</v>
      </c>
      <c r="G18" s="4581"/>
      <c r="H18" s="4582" t="s">
        <v>2876</v>
      </c>
    </row>
    <row r="19" spans="1:8">
      <c r="A19" s="4578">
        <v>9</v>
      </c>
      <c r="B19" s="4579" t="s">
        <v>2882</v>
      </c>
      <c r="C19" s="4579">
        <v>57.1</v>
      </c>
      <c r="D19" s="4579">
        <v>233.2</v>
      </c>
      <c r="E19" s="4583"/>
      <c r="F19" s="4580">
        <f>C19*32*1.2+100</f>
        <v>2292.64</v>
      </c>
      <c r="G19" s="4581"/>
      <c r="H19" s="4582" t="s">
        <v>2876</v>
      </c>
    </row>
    <row r="20" spans="1:8">
      <c r="A20" s="4578">
        <v>10</v>
      </c>
      <c r="B20" s="4579" t="s">
        <v>2883</v>
      </c>
      <c r="C20" s="4579">
        <v>102.1</v>
      </c>
      <c r="D20" s="4579">
        <v>233.3</v>
      </c>
      <c r="E20" s="4583"/>
      <c r="F20" s="4580">
        <f>C20*12*1.2+100</f>
        <v>1570.2399999999998</v>
      </c>
      <c r="G20" s="4581"/>
      <c r="H20" s="4582" t="s">
        <v>2876</v>
      </c>
    </row>
    <row r="21" spans="1:8">
      <c r="A21" s="4578">
        <v>11</v>
      </c>
      <c r="B21" s="4579" t="s">
        <v>2884</v>
      </c>
      <c r="C21" s="4579">
        <v>62.7</v>
      </c>
      <c r="D21" s="4579">
        <v>121.3</v>
      </c>
      <c r="E21" s="4583"/>
      <c r="F21" s="4584">
        <f>C21*32*1.2+50</f>
        <v>2457.6799999999998</v>
      </c>
      <c r="G21" s="4581"/>
      <c r="H21" s="4582" t="s">
        <v>2876</v>
      </c>
    </row>
    <row r="22" spans="1:8" ht="36">
      <c r="A22" s="4578">
        <v>12</v>
      </c>
      <c r="B22" s="4579" t="s">
        <v>2885</v>
      </c>
      <c r="C22" s="4579">
        <v>220.7</v>
      </c>
      <c r="D22" s="4579">
        <v>0</v>
      </c>
      <c r="E22" s="4583"/>
      <c r="F22" s="4580">
        <f>5.3*1.2*C22</f>
        <v>1403.6519999999998</v>
      </c>
      <c r="G22" s="4581"/>
      <c r="H22" s="4582" t="s">
        <v>2876</v>
      </c>
    </row>
    <row r="23" spans="1:8" ht="36">
      <c r="A23" s="4578">
        <v>13</v>
      </c>
      <c r="B23" s="4579" t="s">
        <v>2886</v>
      </c>
      <c r="C23" s="4579">
        <v>58.3</v>
      </c>
      <c r="D23" s="4579">
        <v>0</v>
      </c>
      <c r="E23" s="4583"/>
      <c r="F23" s="4580">
        <f>5.3*1.2*C23</f>
        <v>370.78799999999995</v>
      </c>
      <c r="G23" s="4581"/>
      <c r="H23" s="4582" t="s">
        <v>2876</v>
      </c>
    </row>
    <row r="24" spans="1:8" ht="36">
      <c r="A24" s="4578">
        <v>14</v>
      </c>
      <c r="B24" s="4579" t="s">
        <v>2887</v>
      </c>
      <c r="C24" s="4579">
        <v>700.9</v>
      </c>
      <c r="D24" s="4579">
        <v>1433.01</v>
      </c>
      <c r="E24" s="4583"/>
      <c r="F24" s="4580">
        <f>4.8*1.2*C24+800*5</f>
        <v>8037.1839999999993</v>
      </c>
      <c r="G24" s="4581"/>
      <c r="H24" s="4582" t="s">
        <v>2876</v>
      </c>
    </row>
    <row r="25" spans="1:8" ht="36">
      <c r="A25" s="4578">
        <v>15</v>
      </c>
      <c r="B25" s="4579" t="s">
        <v>2888</v>
      </c>
      <c r="C25" s="4579">
        <v>180</v>
      </c>
      <c r="D25" s="4579">
        <v>180</v>
      </c>
      <c r="E25" s="4583"/>
      <c r="F25" s="4580">
        <f>4.8*1.2*C25+30</f>
        <v>1066.8</v>
      </c>
      <c r="G25" s="4580"/>
      <c r="H25" s="4582" t="s">
        <v>2876</v>
      </c>
    </row>
    <row r="26" spans="1:8" ht="36">
      <c r="A26" s="4578">
        <v>16</v>
      </c>
      <c r="B26" s="4579" t="s">
        <v>2889</v>
      </c>
      <c r="C26" s="4579">
        <v>243</v>
      </c>
      <c r="D26" s="4579">
        <v>607.32000000000005</v>
      </c>
      <c r="E26" s="4583"/>
      <c r="F26" s="4580"/>
      <c r="G26" s="4580">
        <f>C26*32*1.2+800*3</f>
        <v>11731.199999999999</v>
      </c>
      <c r="H26" s="4582" t="s">
        <v>2876</v>
      </c>
    </row>
    <row r="27" spans="1:8" ht="36">
      <c r="A27" s="4578">
        <v>17</v>
      </c>
      <c r="B27" s="4579" t="s">
        <v>2890</v>
      </c>
      <c r="C27" s="4579">
        <v>74.099999999999994</v>
      </c>
      <c r="D27" s="4579">
        <v>119.25</v>
      </c>
      <c r="E27" s="4583"/>
      <c r="F27" s="4580"/>
      <c r="G27" s="4580">
        <f>19710600000/1000000</f>
        <v>19710.599999999999</v>
      </c>
      <c r="H27" s="4582" t="s">
        <v>2876</v>
      </c>
    </row>
    <row r="28" spans="1:8" ht="36">
      <c r="A28" s="4578">
        <v>18</v>
      </c>
      <c r="B28" s="4579" t="s">
        <v>2891</v>
      </c>
      <c r="C28" s="4579">
        <v>106</v>
      </c>
      <c r="D28" s="4579">
        <v>441</v>
      </c>
      <c r="E28" s="4583"/>
      <c r="F28" s="4580"/>
      <c r="G28" s="4580">
        <f>C28*32*1.2+800</f>
        <v>4870.3999999999996</v>
      </c>
      <c r="H28" s="4582" t="s">
        <v>2876</v>
      </c>
    </row>
    <row r="29" spans="1:8" ht="36">
      <c r="A29" s="4578">
        <v>19</v>
      </c>
      <c r="B29" s="4579" t="s">
        <v>2892</v>
      </c>
      <c r="C29" s="4579">
        <v>219.2</v>
      </c>
      <c r="D29" s="4579">
        <f>226.8+231.84+231.84</f>
        <v>690.48</v>
      </c>
      <c r="E29" s="4583"/>
      <c r="F29" s="4580"/>
      <c r="G29" s="4580">
        <f>C29*2*1.2+100*3</f>
        <v>826.07999999999993</v>
      </c>
      <c r="H29" s="4582" t="s">
        <v>2876</v>
      </c>
    </row>
    <row r="30" spans="1:8" ht="18.600000000000001" thickBot="1">
      <c r="A30" s="4585">
        <v>20</v>
      </c>
      <c r="B30" s="4586" t="s">
        <v>2893</v>
      </c>
      <c r="C30" s="4586">
        <f>145+168</f>
        <v>313</v>
      </c>
      <c r="D30" s="4586">
        <f>450+522.8</f>
        <v>972.8</v>
      </c>
      <c r="E30" s="4587"/>
      <c r="F30" s="4588"/>
      <c r="G30" s="4588">
        <f>C30*32*1.2+100*4</f>
        <v>12419.199999999999</v>
      </c>
      <c r="H30" s="4589" t="s">
        <v>2876</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082" t="s">
        <v>2866</v>
      </c>
      <c r="B1" s="6082"/>
    </row>
    <row r="3" spans="1:12">
      <c r="A3" s="6292" t="s">
        <v>2894</v>
      </c>
      <c r="B3" s="6082"/>
      <c r="C3" s="6082"/>
      <c r="D3" s="6082"/>
      <c r="E3" s="6082"/>
      <c r="F3" s="6082"/>
      <c r="G3" s="6082"/>
      <c r="H3" s="6082"/>
      <c r="I3" s="6082"/>
      <c r="J3" s="6082"/>
    </row>
    <row r="4" spans="1:12">
      <c r="A4" s="6084"/>
      <c r="B4" s="6084"/>
      <c r="C4" s="6084"/>
      <c r="D4" s="6084"/>
      <c r="E4" s="6084"/>
      <c r="F4" s="6084"/>
      <c r="G4" s="6084"/>
      <c r="H4" s="6084"/>
      <c r="I4" s="6084"/>
      <c r="J4" s="6084"/>
    </row>
    <row r="5" spans="1:12" ht="18.600000000000001" thickBot="1">
      <c r="I5" s="6293" t="s">
        <v>246</v>
      </c>
      <c r="J5" s="6293"/>
    </row>
    <row r="6" spans="1:12">
      <c r="A6" s="6275" t="s">
        <v>247</v>
      </c>
      <c r="B6" s="6289" t="s">
        <v>2895</v>
      </c>
      <c r="C6" s="6288" t="s">
        <v>2896</v>
      </c>
      <c r="D6" s="6288" t="s">
        <v>2897</v>
      </c>
      <c r="E6" s="6288" t="s">
        <v>2898</v>
      </c>
      <c r="F6" s="6288" t="s">
        <v>2899</v>
      </c>
      <c r="G6" s="6289"/>
      <c r="H6" s="6288" t="s">
        <v>2900</v>
      </c>
      <c r="I6" s="6289"/>
      <c r="J6" s="6290" t="s">
        <v>861</v>
      </c>
      <c r="L6" s="4590"/>
    </row>
    <row r="7" spans="1:12" ht="34.799999999999997">
      <c r="A7" s="6276"/>
      <c r="B7" s="6294"/>
      <c r="C7" s="6294"/>
      <c r="D7" s="6295"/>
      <c r="E7" s="6295"/>
      <c r="F7" s="2247" t="s">
        <v>2901</v>
      </c>
      <c r="G7" s="2247" t="s">
        <v>2902</v>
      </c>
      <c r="H7" s="2247" t="s">
        <v>2903</v>
      </c>
      <c r="I7" s="2247" t="s">
        <v>2874</v>
      </c>
      <c r="J7" s="6291"/>
      <c r="L7" s="4590"/>
    </row>
    <row r="8" spans="1:12" s="2770" customFormat="1">
      <c r="A8" s="4591"/>
      <c r="B8" s="50" t="s">
        <v>387</v>
      </c>
      <c r="C8" s="50"/>
      <c r="D8" s="4592"/>
      <c r="E8" s="2247"/>
      <c r="F8" s="4592">
        <f>SUM(F10:F14)</f>
        <v>30000</v>
      </c>
      <c r="G8" s="4592">
        <f>SUM(G10:G14)</f>
        <v>30000</v>
      </c>
      <c r="H8" s="4592">
        <f>SUM(H10:H14)</f>
        <v>30000</v>
      </c>
      <c r="I8" s="4592">
        <f>SUM(I10:I14)</f>
        <v>60000</v>
      </c>
      <c r="J8" s="4593"/>
      <c r="L8" s="4594"/>
    </row>
    <row r="9" spans="1:12" s="4598" customFormat="1" ht="17.399999999999999">
      <c r="A9" s="4595">
        <v>1</v>
      </c>
      <c r="B9" s="4596" t="s">
        <v>1140</v>
      </c>
      <c r="C9" s="4596"/>
      <c r="D9" s="4596"/>
      <c r="E9" s="4596"/>
      <c r="F9" s="4596"/>
      <c r="G9" s="4596"/>
      <c r="H9" s="4596"/>
      <c r="I9" s="4596"/>
      <c r="J9" s="4597"/>
    </row>
    <row r="10" spans="1:12" s="2770" customFormat="1" ht="36">
      <c r="A10" s="4599"/>
      <c r="B10" s="4600" t="s">
        <v>2904</v>
      </c>
      <c r="C10" s="4601"/>
      <c r="D10" s="4601">
        <v>851451</v>
      </c>
      <c r="E10" s="4601" t="s">
        <v>2905</v>
      </c>
      <c r="F10" s="4602">
        <v>10000</v>
      </c>
      <c r="G10" s="4602">
        <v>10000</v>
      </c>
      <c r="H10" s="4602">
        <v>10000</v>
      </c>
      <c r="I10" s="4602">
        <v>20000</v>
      </c>
      <c r="J10" s="4603"/>
      <c r="K10" s="4604"/>
    </row>
    <row r="11" spans="1:12" s="4598" customFormat="1">
      <c r="A11" s="4605">
        <v>2</v>
      </c>
      <c r="B11" s="330" t="s">
        <v>1460</v>
      </c>
      <c r="C11" s="4606"/>
      <c r="D11" s="4606"/>
      <c r="E11" s="4606"/>
      <c r="F11" s="4602"/>
      <c r="G11" s="4602"/>
      <c r="H11" s="4602"/>
      <c r="I11" s="4602"/>
      <c r="J11" s="4607"/>
      <c r="K11" s="4608"/>
    </row>
    <row r="12" spans="1:12" s="2770" customFormat="1" ht="36">
      <c r="A12" s="4599"/>
      <c r="B12" s="4600" t="s">
        <v>2906</v>
      </c>
      <c r="C12" s="4601"/>
      <c r="D12" s="4601">
        <v>597622</v>
      </c>
      <c r="E12" s="4601" t="s">
        <v>2905</v>
      </c>
      <c r="F12" s="4602">
        <v>10000</v>
      </c>
      <c r="G12" s="4602">
        <v>10000</v>
      </c>
      <c r="H12" s="4602">
        <v>10000</v>
      </c>
      <c r="I12" s="4602">
        <v>20000</v>
      </c>
      <c r="J12" s="4603"/>
      <c r="K12" s="4604"/>
    </row>
    <row r="13" spans="1:12" s="4598" customFormat="1">
      <c r="A13" s="4605">
        <v>3</v>
      </c>
      <c r="B13" s="330" t="s">
        <v>1136</v>
      </c>
      <c r="C13" s="4606"/>
      <c r="D13" s="4606"/>
      <c r="E13" s="4606"/>
      <c r="F13" s="4602"/>
      <c r="G13" s="4602"/>
      <c r="H13" s="4602"/>
      <c r="I13" s="4602"/>
      <c r="J13" s="4607"/>
      <c r="K13" s="4608"/>
    </row>
    <row r="14" spans="1:12" s="2770" customFormat="1" ht="54.6" thickBot="1">
      <c r="A14" s="4609"/>
      <c r="B14" s="4610" t="s">
        <v>2907</v>
      </c>
      <c r="C14" s="4611"/>
      <c r="D14" s="4611">
        <v>333326</v>
      </c>
      <c r="E14" s="4611" t="s">
        <v>2905</v>
      </c>
      <c r="F14" s="4612">
        <v>10000</v>
      </c>
      <c r="G14" s="4612">
        <v>10000</v>
      </c>
      <c r="H14" s="4612">
        <v>10000</v>
      </c>
      <c r="I14" s="4612">
        <v>20000</v>
      </c>
      <c r="J14" s="4613"/>
      <c r="K14" s="4604"/>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058" t="s">
        <v>1411</v>
      </c>
      <c r="B1" s="6058"/>
      <c r="C1" s="6058"/>
      <c r="D1" s="6058"/>
      <c r="E1" s="6058"/>
      <c r="F1" s="6058"/>
      <c r="G1" s="6058"/>
      <c r="H1" s="6058"/>
      <c r="I1" s="6058"/>
      <c r="J1" s="6058"/>
      <c r="K1" s="6058"/>
      <c r="L1" s="6058"/>
      <c r="M1" s="6058"/>
      <c r="N1" s="6058"/>
      <c r="O1" s="6058"/>
      <c r="P1" s="6058"/>
      <c r="Q1" s="6058"/>
      <c r="R1" s="6058"/>
      <c r="S1" s="6058"/>
      <c r="T1" s="6058"/>
      <c r="U1" s="6058"/>
      <c r="V1" s="6058"/>
    </row>
    <row r="2" spans="1:61">
      <c r="A2" s="6058" t="s">
        <v>1412</v>
      </c>
      <c r="B2" s="6058"/>
      <c r="C2" s="6058"/>
      <c r="D2" s="6058"/>
      <c r="E2" s="6058"/>
      <c r="F2" s="6058"/>
      <c r="G2" s="6058"/>
      <c r="H2" s="6058"/>
      <c r="I2" s="6058"/>
      <c r="J2" s="6058"/>
      <c r="K2" s="6058"/>
      <c r="L2" s="6058"/>
      <c r="M2" s="6058"/>
      <c r="N2" s="6058"/>
      <c r="O2" s="6058"/>
      <c r="P2" s="6058"/>
      <c r="Q2" s="6058"/>
      <c r="R2" s="6058"/>
      <c r="S2" s="6058"/>
      <c r="T2" s="6058"/>
      <c r="U2" s="6058"/>
      <c r="V2" s="6058"/>
    </row>
    <row r="3" spans="1:61">
      <c r="A3" s="6061" t="s">
        <v>1413</v>
      </c>
      <c r="B3" s="6061"/>
      <c r="C3" s="6061"/>
      <c r="D3" s="6061"/>
      <c r="E3" s="6061"/>
      <c r="F3" s="6061"/>
      <c r="G3" s="6061"/>
      <c r="H3" s="6061"/>
      <c r="I3" s="6061"/>
      <c r="J3" s="6061"/>
      <c r="K3" s="6061"/>
      <c r="L3" s="6061"/>
      <c r="M3" s="6061"/>
      <c r="N3" s="6061"/>
      <c r="O3" s="6061"/>
      <c r="P3" s="6061"/>
      <c r="Q3" s="6061"/>
      <c r="R3" s="6061"/>
      <c r="S3" s="6061"/>
      <c r="T3" s="6061"/>
      <c r="U3" s="6061"/>
      <c r="V3" s="6061"/>
    </row>
    <row r="5" spans="1:61">
      <c r="J5" s="1662"/>
      <c r="M5" s="6"/>
      <c r="N5" s="6"/>
      <c r="Q5" s="6"/>
      <c r="S5" s="198"/>
      <c r="T5" s="6060" t="s">
        <v>246</v>
      </c>
      <c r="U5" s="6060"/>
      <c r="V5" s="6060"/>
    </row>
    <row r="6" spans="1:61">
      <c r="A6" s="6062" t="s">
        <v>0</v>
      </c>
      <c r="B6" s="6063" t="s">
        <v>49</v>
      </c>
      <c r="C6" s="6064" t="s">
        <v>50</v>
      </c>
      <c r="D6" s="6064"/>
      <c r="E6" s="6064"/>
      <c r="F6" s="6064"/>
      <c r="G6" s="6064"/>
      <c r="H6" s="6064"/>
      <c r="I6" s="6064"/>
      <c r="J6" s="6067" t="s">
        <v>120</v>
      </c>
      <c r="K6" s="6067"/>
      <c r="L6" s="6067"/>
      <c r="M6" s="6067"/>
      <c r="N6" s="6067"/>
      <c r="O6" s="6067"/>
      <c r="P6" s="6067"/>
      <c r="Q6" s="6067" t="s">
        <v>121</v>
      </c>
      <c r="R6" s="6067"/>
      <c r="S6" s="6067"/>
      <c r="T6" s="6067"/>
      <c r="U6" s="6067"/>
      <c r="V6" s="6067"/>
      <c r="W6" s="6067" t="s">
        <v>125</v>
      </c>
      <c r="X6" s="6067"/>
      <c r="Y6" s="6067"/>
      <c r="Z6" s="6067"/>
      <c r="AA6" s="6067"/>
      <c r="AB6" s="6067"/>
      <c r="AC6" s="6067" t="s">
        <v>126</v>
      </c>
      <c r="AD6" s="6067"/>
      <c r="AE6" s="6067"/>
      <c r="AF6" s="6067"/>
      <c r="AG6" s="6067"/>
      <c r="AH6" s="6067"/>
      <c r="AI6" s="6067" t="s">
        <v>127</v>
      </c>
      <c r="AJ6" s="6067"/>
      <c r="AK6" s="6067"/>
      <c r="AL6" s="6067"/>
      <c r="AM6" s="6067"/>
      <c r="AN6" s="6067"/>
      <c r="AO6" s="6067" t="s">
        <v>128</v>
      </c>
      <c r="AP6" s="6067"/>
      <c r="AQ6" s="6067"/>
      <c r="AR6" s="6067"/>
      <c r="AS6" s="6067"/>
      <c r="AT6" s="6067"/>
      <c r="AU6" s="6067" t="s">
        <v>129</v>
      </c>
      <c r="AV6" s="6067"/>
      <c r="AW6" s="6067"/>
      <c r="AX6" s="6067"/>
      <c r="AY6" s="6067"/>
      <c r="AZ6" s="6067"/>
    </row>
    <row r="7" spans="1:61" ht="29.25" customHeight="1">
      <c r="A7" s="6062"/>
      <c r="B7" s="6063"/>
      <c r="C7" s="6063" t="s">
        <v>51</v>
      </c>
      <c r="D7" s="6063"/>
      <c r="E7" s="6063" t="s">
        <v>52</v>
      </c>
      <c r="F7" s="6063" t="s">
        <v>53</v>
      </c>
      <c r="G7" s="6063" t="s">
        <v>124</v>
      </c>
      <c r="H7" s="6063"/>
      <c r="I7" s="6063"/>
      <c r="J7" s="6066" t="s">
        <v>51</v>
      </c>
      <c r="K7" s="6068" t="s">
        <v>122</v>
      </c>
      <c r="L7" s="6068"/>
      <c r="M7" s="6063" t="s">
        <v>53</v>
      </c>
      <c r="N7" s="6063" t="s">
        <v>124</v>
      </c>
      <c r="O7" s="6063"/>
      <c r="P7" s="6063"/>
      <c r="Q7" s="6066" t="s">
        <v>51</v>
      </c>
      <c r="R7" s="6066" t="s">
        <v>123</v>
      </c>
      <c r="S7" s="6063" t="s">
        <v>53</v>
      </c>
      <c r="T7" s="6063" t="s">
        <v>124</v>
      </c>
      <c r="U7" s="6063"/>
      <c r="V7" s="6063"/>
      <c r="W7" s="6066" t="s">
        <v>51</v>
      </c>
      <c r="X7" s="6066" t="s">
        <v>131</v>
      </c>
      <c r="Y7" s="6063" t="s">
        <v>53</v>
      </c>
      <c r="Z7" s="6063" t="s">
        <v>124</v>
      </c>
      <c r="AA7" s="6063"/>
      <c r="AB7" s="6063"/>
      <c r="AC7" s="6066" t="s">
        <v>51</v>
      </c>
      <c r="AD7" s="6066" t="s">
        <v>132</v>
      </c>
      <c r="AE7" s="6063" t="s">
        <v>53</v>
      </c>
      <c r="AF7" s="6063" t="s">
        <v>124</v>
      </c>
      <c r="AG7" s="6063"/>
      <c r="AH7" s="6063"/>
      <c r="AI7" s="6066" t="s">
        <v>51</v>
      </c>
      <c r="AJ7" s="6066" t="s">
        <v>133</v>
      </c>
      <c r="AK7" s="6063" t="s">
        <v>53</v>
      </c>
      <c r="AL7" s="6063" t="s">
        <v>124</v>
      </c>
      <c r="AM7" s="6063"/>
      <c r="AN7" s="6063"/>
      <c r="AO7" s="6066" t="s">
        <v>51</v>
      </c>
      <c r="AP7" s="6066" t="s">
        <v>130</v>
      </c>
      <c r="AQ7" s="6063" t="s">
        <v>53</v>
      </c>
      <c r="AR7" s="6063" t="s">
        <v>124</v>
      </c>
      <c r="AS7" s="6063"/>
      <c r="AT7" s="6063"/>
      <c r="AU7" s="6066" t="s">
        <v>51</v>
      </c>
      <c r="AV7" s="6066" t="s">
        <v>134</v>
      </c>
      <c r="AW7" s="6063" t="s">
        <v>53</v>
      </c>
      <c r="AX7" s="6063" t="s">
        <v>124</v>
      </c>
      <c r="AY7" s="6063"/>
      <c r="AZ7" s="6063"/>
    </row>
    <row r="8" spans="1:61" ht="78" customHeight="1">
      <c r="A8" s="6062"/>
      <c r="B8" s="6063"/>
      <c r="C8" s="755" t="s">
        <v>119</v>
      </c>
      <c r="D8" s="755" t="s">
        <v>118</v>
      </c>
      <c r="E8" s="6065"/>
      <c r="F8" s="6065"/>
      <c r="G8" s="1538" t="s">
        <v>54</v>
      </c>
      <c r="H8" s="1538" t="s">
        <v>55</v>
      </c>
      <c r="I8" s="130" t="s">
        <v>56</v>
      </c>
      <c r="J8" s="6066"/>
      <c r="K8" s="755" t="s">
        <v>119</v>
      </c>
      <c r="L8" s="755" t="s">
        <v>118</v>
      </c>
      <c r="M8" s="6066"/>
      <c r="N8" s="1538" t="s">
        <v>54</v>
      </c>
      <c r="O8" s="1538" t="s">
        <v>55</v>
      </c>
      <c r="P8" s="130" t="s">
        <v>56</v>
      </c>
      <c r="Q8" s="6066"/>
      <c r="R8" s="6066"/>
      <c r="S8" s="6066"/>
      <c r="T8" s="1538" t="s">
        <v>54</v>
      </c>
      <c r="U8" s="1538" t="s">
        <v>55</v>
      </c>
      <c r="V8" s="130" t="s">
        <v>56</v>
      </c>
      <c r="W8" s="6066"/>
      <c r="X8" s="6066"/>
      <c r="Y8" s="6066"/>
      <c r="Z8" s="1538" t="s">
        <v>54</v>
      </c>
      <c r="AA8" s="1538" t="s">
        <v>55</v>
      </c>
      <c r="AB8" s="130" t="s">
        <v>56</v>
      </c>
      <c r="AC8" s="6066"/>
      <c r="AD8" s="6066"/>
      <c r="AE8" s="6066"/>
      <c r="AF8" s="1538" t="s">
        <v>54</v>
      </c>
      <c r="AG8" s="1538" t="s">
        <v>55</v>
      </c>
      <c r="AH8" s="130" t="s">
        <v>56</v>
      </c>
      <c r="AI8" s="6066"/>
      <c r="AJ8" s="6066"/>
      <c r="AK8" s="6066"/>
      <c r="AL8" s="1538" t="s">
        <v>54</v>
      </c>
      <c r="AM8" s="1538" t="s">
        <v>55</v>
      </c>
      <c r="AN8" s="130" t="s">
        <v>56</v>
      </c>
      <c r="AO8" s="6066"/>
      <c r="AP8" s="6066"/>
      <c r="AQ8" s="6066"/>
      <c r="AR8" s="1538" t="s">
        <v>54</v>
      </c>
      <c r="AS8" s="1538" t="s">
        <v>55</v>
      </c>
      <c r="AT8" s="130" t="s">
        <v>56</v>
      </c>
      <c r="AU8" s="6066"/>
      <c r="AV8" s="6066"/>
      <c r="AW8" s="6066"/>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057" t="s">
        <v>1421</v>
      </c>
      <c r="N79" s="6057"/>
      <c r="O79" s="6057"/>
      <c r="P79" s="6057"/>
      <c r="S79" s="6059" t="s">
        <v>1423</v>
      </c>
      <c r="T79" s="6059"/>
      <c r="U79" s="6059"/>
      <c r="V79" s="6059"/>
      <c r="Y79" s="6057" t="s">
        <v>1426</v>
      </c>
      <c r="Z79" s="6057"/>
      <c r="AA79" s="6057"/>
      <c r="AB79" s="6057"/>
      <c r="AE79" s="6057" t="s">
        <v>1426</v>
      </c>
      <c r="AF79" s="6057"/>
      <c r="AG79" s="6057"/>
      <c r="AH79" s="6057"/>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057" t="s">
        <v>1422</v>
      </c>
      <c r="N87" s="6057"/>
      <c r="O87" s="6057"/>
      <c r="P87" s="6057"/>
      <c r="S87" s="6059" t="s">
        <v>1425</v>
      </c>
      <c r="T87" s="6059"/>
      <c r="U87" s="6059"/>
      <c r="V87" s="6059"/>
      <c r="Y87" s="6057" t="s">
        <v>1427</v>
      </c>
      <c r="Z87" s="6057"/>
      <c r="AA87" s="6057"/>
      <c r="AB87" s="6057"/>
      <c r="AE87" s="6057" t="s">
        <v>1427</v>
      </c>
      <c r="AF87" s="6057"/>
      <c r="AG87" s="6057"/>
      <c r="AH87" s="6057"/>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058" t="s">
        <v>1428</v>
      </c>
      <c r="N96" s="6058"/>
      <c r="O96" s="6058"/>
      <c r="P96" s="6058"/>
      <c r="S96" s="6058" t="s">
        <v>1429</v>
      </c>
      <c r="T96" s="6058"/>
      <c r="U96" s="6058"/>
      <c r="V96" s="6058"/>
      <c r="Y96" s="6058" t="s">
        <v>1429</v>
      </c>
      <c r="Z96" s="6058"/>
      <c r="AA96" s="6058"/>
      <c r="AB96" s="6058"/>
      <c r="AE96" s="6058" t="s">
        <v>1429</v>
      </c>
      <c r="AF96" s="6058"/>
      <c r="AG96" s="6058"/>
      <c r="AH96" s="6058"/>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06" t="s">
        <v>2360</v>
      </c>
      <c r="B1" s="6306"/>
      <c r="C1" s="6306"/>
      <c r="D1" s="6306"/>
      <c r="E1" s="6306"/>
      <c r="F1" s="6306"/>
      <c r="G1" s="6306"/>
      <c r="H1" s="6306"/>
      <c r="I1" s="6306"/>
      <c r="J1" s="6306"/>
      <c r="K1" s="6306"/>
      <c r="L1" s="6306"/>
      <c r="M1" s="6306"/>
      <c r="N1" s="6306"/>
      <c r="O1" s="6306"/>
      <c r="P1" s="6306"/>
      <c r="Q1" s="6306"/>
      <c r="R1" s="6306"/>
      <c r="S1" s="6306"/>
      <c r="T1" s="6306"/>
      <c r="U1" s="6306"/>
      <c r="V1" s="6306"/>
      <c r="W1" s="6306"/>
      <c r="X1" s="6306"/>
      <c r="Y1" s="6306"/>
      <c r="Z1" s="6306"/>
      <c r="AJ1" s="4017"/>
      <c r="AP1" s="685" t="s">
        <v>2130</v>
      </c>
      <c r="AU1" s="4018"/>
      <c r="BC1" s="4018"/>
      <c r="BK1" s="4018"/>
      <c r="BS1" s="4018"/>
      <c r="CA1" s="4018"/>
      <c r="CI1" s="4018"/>
      <c r="CQ1" s="4018"/>
      <c r="CY1" s="4018"/>
      <c r="DG1" s="4018"/>
    </row>
    <row r="2" spans="1:111" ht="18.600000000000001" thickBot="1">
      <c r="B2" s="3045"/>
      <c r="C2" s="3045"/>
      <c r="D2" s="3045"/>
      <c r="S2" s="6307" t="s">
        <v>1860</v>
      </c>
      <c r="T2" s="6307"/>
      <c r="U2" s="6307"/>
      <c r="V2" s="6307"/>
      <c r="W2" s="6307"/>
      <c r="X2" s="6307"/>
      <c r="Y2" s="6307"/>
      <c r="Z2" s="6307"/>
      <c r="AC2" s="716"/>
    </row>
    <row r="3" spans="1:111" s="3046" customFormat="1" ht="24.75" customHeight="1">
      <c r="A3" s="6308" t="s">
        <v>0</v>
      </c>
      <c r="B3" s="6309" t="s">
        <v>1861</v>
      </c>
      <c r="C3" s="6311" t="s">
        <v>2361</v>
      </c>
      <c r="D3" s="6302" t="s">
        <v>2048</v>
      </c>
      <c r="E3" s="6300" t="s">
        <v>1864</v>
      </c>
      <c r="F3" s="6303" t="s">
        <v>186</v>
      </c>
      <c r="G3" s="6304"/>
      <c r="H3" s="6304"/>
      <c r="I3" s="6305"/>
      <c r="J3" s="6311" t="s">
        <v>2362</v>
      </c>
      <c r="K3" s="6311" t="s">
        <v>2363</v>
      </c>
      <c r="L3" s="6300" t="s">
        <v>2364</v>
      </c>
      <c r="M3" s="6302" t="s">
        <v>2365</v>
      </c>
      <c r="N3" s="6300" t="s">
        <v>2366</v>
      </c>
      <c r="O3" s="6303" t="s">
        <v>186</v>
      </c>
      <c r="P3" s="6304"/>
      <c r="Q3" s="6304"/>
      <c r="R3" s="6305"/>
      <c r="S3" s="6300" t="s">
        <v>3119</v>
      </c>
      <c r="T3" s="6303" t="s">
        <v>186</v>
      </c>
      <c r="U3" s="6304"/>
      <c r="V3" s="6304"/>
      <c r="W3" s="6305"/>
      <c r="X3" s="6300" t="s">
        <v>2368</v>
      </c>
      <c r="Y3" s="6300" t="s">
        <v>2369</v>
      </c>
      <c r="Z3" s="6314"/>
      <c r="AJ3" s="4020"/>
    </row>
    <row r="4" spans="1:111" s="3046" customFormat="1" ht="27.75" customHeight="1">
      <c r="A4" s="6208"/>
      <c r="B4" s="6310"/>
      <c r="C4" s="6312"/>
      <c r="D4" s="6296"/>
      <c r="E4" s="6301"/>
      <c r="F4" s="6296" t="s">
        <v>2370</v>
      </c>
      <c r="G4" s="6296" t="s">
        <v>2371</v>
      </c>
      <c r="H4" s="6298" t="s">
        <v>645</v>
      </c>
      <c r="I4" s="6299"/>
      <c r="J4" s="6312"/>
      <c r="K4" s="6312"/>
      <c r="L4" s="6301"/>
      <c r="M4" s="6296"/>
      <c r="N4" s="6301"/>
      <c r="O4" s="6296" t="s">
        <v>2370</v>
      </c>
      <c r="P4" s="6296" t="s">
        <v>2371</v>
      </c>
      <c r="Q4" s="6298" t="s">
        <v>645</v>
      </c>
      <c r="R4" s="6299"/>
      <c r="S4" s="6301"/>
      <c r="T4" s="6296" t="s">
        <v>2370</v>
      </c>
      <c r="U4" s="6296" t="s">
        <v>2371</v>
      </c>
      <c r="V4" s="6298" t="s">
        <v>645</v>
      </c>
      <c r="W4" s="6299"/>
      <c r="X4" s="6301"/>
      <c r="Y4" s="6301"/>
      <c r="Z4" s="6315"/>
      <c r="AB4" s="4018">
        <f>+$L$9*5%</f>
        <v>243499.99</v>
      </c>
      <c r="AC4" s="4018">
        <f>+AB4+$S$9</f>
        <v>6105499.9900000002</v>
      </c>
      <c r="AD4" s="4018">
        <f>AC4+$S$19+$S$26</f>
        <v>9805499.9900000002</v>
      </c>
      <c r="AJ4" s="4020"/>
    </row>
    <row r="5" spans="1:111" s="3046" customFormat="1" ht="114.6" customHeight="1">
      <c r="A5" s="6208"/>
      <c r="B5" s="6310"/>
      <c r="C5" s="6313"/>
      <c r="D5" s="6297"/>
      <c r="E5" s="6301"/>
      <c r="F5" s="6297"/>
      <c r="G5" s="6297"/>
      <c r="H5" s="4021" t="s">
        <v>865</v>
      </c>
      <c r="I5" s="4021" t="s">
        <v>1618</v>
      </c>
      <c r="J5" s="6313"/>
      <c r="K5" s="6313"/>
      <c r="L5" s="6301"/>
      <c r="M5" s="6297"/>
      <c r="N5" s="6301"/>
      <c r="O5" s="6297"/>
      <c r="P5" s="6297"/>
      <c r="Q5" s="4021" t="s">
        <v>865</v>
      </c>
      <c r="R5" s="4021" t="s">
        <v>1618</v>
      </c>
      <c r="S5" s="6301"/>
      <c r="T5" s="6297"/>
      <c r="U5" s="6297"/>
      <c r="V5" s="4021" t="s">
        <v>865</v>
      </c>
      <c r="W5" s="4021" t="s">
        <v>1618</v>
      </c>
      <c r="X5" s="6301"/>
      <c r="Y5" s="4022" t="s">
        <v>2372</v>
      </c>
      <c r="Z5" s="4023" t="s">
        <v>2373</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2374</v>
      </c>
      <c r="L6" s="4026">
        <v>7</v>
      </c>
      <c r="M6" s="4026" t="s">
        <v>2375</v>
      </c>
      <c r="N6" s="4026">
        <v>9</v>
      </c>
      <c r="O6" s="4026"/>
      <c r="P6" s="4026"/>
      <c r="Q6" s="4026"/>
      <c r="R6" s="4026"/>
      <c r="S6" s="4026">
        <v>10</v>
      </c>
      <c r="T6" s="4026"/>
      <c r="U6" s="4026"/>
      <c r="V6" s="4026"/>
      <c r="W6" s="4026"/>
      <c r="X6" s="4026" t="s">
        <v>1195</v>
      </c>
      <c r="Y6" s="4028" t="s">
        <v>2376</v>
      </c>
      <c r="Z6" s="4023" t="s">
        <v>2377</v>
      </c>
      <c r="AB6" s="4018">
        <f>+$L$9*10%</f>
        <v>486999.98</v>
      </c>
      <c r="AC6" s="4018">
        <f>+AB6+$S$9</f>
        <v>6348999.9800000004</v>
      </c>
      <c r="AD6" s="4018">
        <f>AC6+$S$19+$S$26</f>
        <v>10048999.98</v>
      </c>
      <c r="AJ6" s="4029"/>
    </row>
    <row r="7" spans="1:111" s="708" customFormat="1" ht="17.399999999999999">
      <c r="A7" s="2892"/>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2379</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2006</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2380</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2381</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2382</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1976</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3120</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2383</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3121</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3122</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3123</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2384</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2385</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2386</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06" t="s">
        <v>2387</v>
      </c>
      <c r="B1" s="6306"/>
      <c r="C1" s="6306"/>
      <c r="D1" s="6306"/>
      <c r="E1" s="6306"/>
      <c r="F1" s="6306"/>
      <c r="G1" s="6306"/>
      <c r="H1" s="6306"/>
      <c r="I1" s="6306"/>
      <c r="J1" s="6306"/>
      <c r="K1" s="6306"/>
      <c r="L1" s="6306"/>
      <c r="M1" s="6306"/>
      <c r="N1" s="6306"/>
      <c r="O1" s="6306"/>
      <c r="P1" s="6306"/>
      <c r="Q1" s="6306"/>
      <c r="R1" s="6306"/>
      <c r="S1" s="6306"/>
      <c r="T1" s="6306"/>
      <c r="U1" s="6306"/>
      <c r="V1" s="6306"/>
      <c r="W1" s="6306"/>
      <c r="X1" s="6306"/>
      <c r="Y1" s="6306"/>
      <c r="Z1" s="6306"/>
      <c r="AA1" s="6306"/>
      <c r="AB1" s="6306"/>
      <c r="AC1" s="6306"/>
      <c r="AD1" s="6306"/>
      <c r="AE1" s="6306"/>
      <c r="AF1" s="6306"/>
      <c r="AP1" s="4017"/>
      <c r="AV1" s="685" t="s">
        <v>2130</v>
      </c>
      <c r="BA1" s="4018"/>
      <c r="BI1" s="4018"/>
      <c r="BQ1" s="4018"/>
      <c r="BY1" s="4018"/>
      <c r="CG1" s="4018"/>
      <c r="CO1" s="4018"/>
      <c r="CW1" s="4018"/>
      <c r="DE1" s="4018"/>
      <c r="DM1" s="4018"/>
    </row>
    <row r="2" spans="1:117">
      <c r="B2" s="3045"/>
      <c r="C2" s="3045"/>
      <c r="D2" s="3045"/>
      <c r="X2" s="6318" t="s">
        <v>1860</v>
      </c>
      <c r="Y2" s="6318"/>
      <c r="Z2" s="6318"/>
      <c r="AA2" s="6318"/>
      <c r="AB2" s="6318"/>
      <c r="AC2" s="6318"/>
      <c r="AD2" s="6318"/>
      <c r="AE2" s="6318"/>
      <c r="AF2" s="6318"/>
      <c r="AG2" s="6318"/>
      <c r="AI2" s="716"/>
    </row>
    <row r="3" spans="1:117" s="3046" customFormat="1" ht="44.4" customHeight="1">
      <c r="A3" s="6319" t="s">
        <v>0</v>
      </c>
      <c r="B3" s="6317" t="s">
        <v>1861</v>
      </c>
      <c r="C3" s="6321" t="s">
        <v>2361</v>
      </c>
      <c r="D3" s="6301" t="s">
        <v>2048</v>
      </c>
      <c r="E3" s="6301" t="s">
        <v>1864</v>
      </c>
      <c r="F3" s="6301" t="s">
        <v>186</v>
      </c>
      <c r="G3" s="6301"/>
      <c r="H3" s="6301"/>
      <c r="I3" s="6301"/>
      <c r="J3" s="6321" t="s">
        <v>2362</v>
      </c>
      <c r="K3" s="6321" t="s">
        <v>2363</v>
      </c>
      <c r="L3" s="6301" t="s">
        <v>2364</v>
      </c>
      <c r="M3" s="6301" t="s">
        <v>186</v>
      </c>
      <c r="N3" s="6301"/>
      <c r="O3" s="6301"/>
      <c r="P3" s="6301"/>
      <c r="Q3" s="6301" t="s">
        <v>2388</v>
      </c>
      <c r="R3" s="6301"/>
      <c r="S3" s="6301" t="s">
        <v>2366</v>
      </c>
      <c r="T3" s="6301" t="s">
        <v>186</v>
      </c>
      <c r="U3" s="6301"/>
      <c r="V3" s="6301"/>
      <c r="W3" s="6301"/>
      <c r="X3" s="6301" t="s">
        <v>2367</v>
      </c>
      <c r="Y3" s="6301" t="s">
        <v>186</v>
      </c>
      <c r="Z3" s="6301"/>
      <c r="AA3" s="6301"/>
      <c r="AB3" s="6301"/>
      <c r="AC3" s="6301" t="s">
        <v>2389</v>
      </c>
      <c r="AD3" s="6301"/>
      <c r="AE3" s="6301" t="s">
        <v>2390</v>
      </c>
      <c r="AF3" s="6301"/>
      <c r="AG3" s="6317" t="s">
        <v>861</v>
      </c>
      <c r="AP3" s="4020"/>
    </row>
    <row r="4" spans="1:117" s="3046" customFormat="1" ht="27.75" customHeight="1">
      <c r="A4" s="6320"/>
      <c r="B4" s="6310"/>
      <c r="C4" s="6321"/>
      <c r="D4" s="6301"/>
      <c r="E4" s="6301"/>
      <c r="F4" s="6301" t="s">
        <v>2370</v>
      </c>
      <c r="G4" s="6301" t="s">
        <v>2371</v>
      </c>
      <c r="H4" s="6301" t="s">
        <v>645</v>
      </c>
      <c r="I4" s="6301"/>
      <c r="J4" s="6321"/>
      <c r="K4" s="6321"/>
      <c r="L4" s="6301"/>
      <c r="M4" s="6301" t="s">
        <v>2370</v>
      </c>
      <c r="N4" s="6301" t="s">
        <v>2371</v>
      </c>
      <c r="O4" s="6301" t="s">
        <v>645</v>
      </c>
      <c r="P4" s="6301"/>
      <c r="Q4" s="6301" t="s">
        <v>1471</v>
      </c>
      <c r="R4" s="6301" t="s">
        <v>2391</v>
      </c>
      <c r="S4" s="6301"/>
      <c r="T4" s="6301" t="s">
        <v>2370</v>
      </c>
      <c r="U4" s="6301" t="s">
        <v>2371</v>
      </c>
      <c r="V4" s="6301" t="s">
        <v>645</v>
      </c>
      <c r="W4" s="6301"/>
      <c r="X4" s="6301"/>
      <c r="Y4" s="6301" t="s">
        <v>2370</v>
      </c>
      <c r="Z4" s="6301" t="s">
        <v>2371</v>
      </c>
      <c r="AA4" s="6301" t="s">
        <v>645</v>
      </c>
      <c r="AB4" s="6301"/>
      <c r="AC4" s="6301" t="s">
        <v>1471</v>
      </c>
      <c r="AD4" s="6301" t="s">
        <v>2391</v>
      </c>
      <c r="AE4" s="6301" t="s">
        <v>1471</v>
      </c>
      <c r="AF4" s="6301" t="s">
        <v>2391</v>
      </c>
      <c r="AG4" s="6317"/>
      <c r="AH4" s="4018"/>
      <c r="AI4" s="4018"/>
      <c r="AJ4" s="4018"/>
      <c r="AP4" s="4020"/>
    </row>
    <row r="5" spans="1:117" s="3046" customFormat="1" ht="87" customHeight="1">
      <c r="A5" s="6320"/>
      <c r="B5" s="6310"/>
      <c r="C5" s="6321"/>
      <c r="D5" s="6301"/>
      <c r="E5" s="6301"/>
      <c r="F5" s="6301"/>
      <c r="G5" s="6301"/>
      <c r="H5" s="4022" t="s">
        <v>865</v>
      </c>
      <c r="I5" s="4022" t="s">
        <v>1618</v>
      </c>
      <c r="J5" s="6321"/>
      <c r="K5" s="6321"/>
      <c r="L5" s="6301"/>
      <c r="M5" s="6301"/>
      <c r="N5" s="6301"/>
      <c r="O5" s="4022" t="s">
        <v>865</v>
      </c>
      <c r="P5" s="4022" t="s">
        <v>1618</v>
      </c>
      <c r="Q5" s="6301"/>
      <c r="R5" s="6301"/>
      <c r="S5" s="6301"/>
      <c r="T5" s="6301"/>
      <c r="U5" s="6301"/>
      <c r="V5" s="4022" t="s">
        <v>865</v>
      </c>
      <c r="W5" s="4022" t="s">
        <v>1618</v>
      </c>
      <c r="X5" s="6301"/>
      <c r="Y5" s="6301"/>
      <c r="Z5" s="6301"/>
      <c r="AA5" s="4022" t="s">
        <v>865</v>
      </c>
      <c r="AB5" s="4022" t="s">
        <v>1618</v>
      </c>
      <c r="AC5" s="6301"/>
      <c r="AD5" s="6301"/>
      <c r="AE5" s="6301"/>
      <c r="AF5" s="6301"/>
      <c r="AG5" s="6317"/>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2374</v>
      </c>
      <c r="L6" s="2738" t="s">
        <v>1537</v>
      </c>
      <c r="M6" s="2738">
        <v>9</v>
      </c>
      <c r="N6" s="2738" t="s">
        <v>1361</v>
      </c>
      <c r="O6" s="2738">
        <v>11</v>
      </c>
      <c r="P6" s="2738">
        <v>12</v>
      </c>
      <c r="Q6" s="2738" t="s">
        <v>2392</v>
      </c>
      <c r="R6" s="2738" t="s">
        <v>2393</v>
      </c>
      <c r="S6" s="2738">
        <v>9</v>
      </c>
      <c r="T6" s="2738"/>
      <c r="U6" s="2738"/>
      <c r="V6" s="2738"/>
      <c r="W6" s="2738"/>
      <c r="X6" s="2738" t="s">
        <v>2394</v>
      </c>
      <c r="Y6" s="2738">
        <v>16</v>
      </c>
      <c r="Z6" s="2738" t="s">
        <v>2395</v>
      </c>
      <c r="AA6" s="2738">
        <v>18</v>
      </c>
      <c r="AB6" s="2738">
        <v>19</v>
      </c>
      <c r="AC6" s="2738" t="s">
        <v>2396</v>
      </c>
      <c r="AD6" s="2738" t="s">
        <v>2397</v>
      </c>
      <c r="AE6" s="4028" t="s">
        <v>2398</v>
      </c>
      <c r="AF6" s="2738" t="s">
        <v>2399</v>
      </c>
      <c r="AG6" s="584">
        <v>24</v>
      </c>
      <c r="AP6" s="4029"/>
    </row>
    <row r="7" spans="1:117" s="708" customFormat="1" ht="17.399999999999999">
      <c r="A7" s="693" t="s">
        <v>1</v>
      </c>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2379</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2006</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2380</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2381</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2382</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1976</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2400</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2401</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2402</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16"/>
      <c r="AI44" s="6316"/>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16"/>
      <c r="AI45" s="6316"/>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2403</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2404</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2405</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06" t="s">
        <v>2406</v>
      </c>
      <c r="B1" s="6306"/>
      <c r="C1" s="6306"/>
      <c r="D1" s="6306"/>
      <c r="E1" s="6306"/>
      <c r="F1" s="6306"/>
      <c r="G1" s="6306"/>
      <c r="H1" s="6306"/>
      <c r="I1" s="6306"/>
      <c r="J1" s="6306"/>
      <c r="K1" s="6306"/>
      <c r="L1" s="6306"/>
      <c r="M1" s="6306"/>
      <c r="N1" s="6306"/>
      <c r="O1" s="6306"/>
      <c r="P1" s="6306"/>
      <c r="Q1" s="6306"/>
      <c r="R1" s="6306"/>
      <c r="S1" s="6306"/>
      <c r="T1" s="6306"/>
      <c r="U1" s="6306"/>
      <c r="V1" s="6306"/>
      <c r="W1" s="6306"/>
      <c r="X1" s="6306"/>
      <c r="Y1" s="6306"/>
      <c r="Z1" s="6306"/>
      <c r="AA1" s="6306"/>
      <c r="AB1" s="6306"/>
      <c r="AC1" s="6306"/>
      <c r="AD1" s="6306"/>
      <c r="AE1" s="6306"/>
    </row>
    <row r="2" spans="1:37" s="685" customFormat="1">
      <c r="A2" s="6327" t="str">
        <f>'[2]Phụ lục số 1'!A2:AJ2</f>
        <v>(Kèm theo Báo cáo số         /BC-UBND ngày      tháng 10 năm 2023 của Ủy ban nhân dân tỉnh Đồng Tháp)</v>
      </c>
      <c r="B2" s="6327"/>
      <c r="C2" s="6327"/>
      <c r="D2" s="6327"/>
      <c r="E2" s="6327"/>
      <c r="F2" s="6327"/>
      <c r="G2" s="6327"/>
      <c r="H2" s="6327"/>
      <c r="I2" s="6327"/>
      <c r="J2" s="6327"/>
      <c r="K2" s="6327"/>
      <c r="L2" s="6327"/>
      <c r="M2" s="6327"/>
      <c r="N2" s="6327"/>
      <c r="O2" s="6327"/>
      <c r="P2" s="6327"/>
      <c r="Q2" s="6327"/>
      <c r="R2" s="6327"/>
      <c r="S2" s="6327"/>
      <c r="T2" s="6327"/>
      <c r="U2" s="6327"/>
      <c r="V2" s="6327"/>
      <c r="W2" s="6327"/>
      <c r="X2" s="6327"/>
      <c r="Y2" s="6327"/>
      <c r="Z2" s="6327"/>
      <c r="AA2" s="6327"/>
      <c r="AB2" s="6327"/>
      <c r="AC2" s="6327"/>
      <c r="AD2" s="6327"/>
      <c r="AE2" s="6327"/>
    </row>
    <row r="3" spans="1:37">
      <c r="B3" s="4153"/>
      <c r="C3" s="4154"/>
      <c r="D3" s="4154"/>
      <c r="E3" s="6328"/>
      <c r="F3" s="6328"/>
      <c r="G3" s="6328"/>
      <c r="H3" s="4155"/>
      <c r="I3" s="4156"/>
      <c r="J3" s="4157"/>
      <c r="L3" s="4158"/>
      <c r="AE3" s="690" t="s">
        <v>2407</v>
      </c>
    </row>
    <row r="4" spans="1:37" s="3046" customFormat="1" ht="23.1" customHeight="1">
      <c r="A4" s="6329" t="s">
        <v>0</v>
      </c>
      <c r="B4" s="6325" t="s">
        <v>49</v>
      </c>
      <c r="C4" s="6333" t="s">
        <v>1864</v>
      </c>
      <c r="D4" s="4159"/>
      <c r="E4" s="4159"/>
      <c r="F4" s="4159"/>
      <c r="G4" s="4160"/>
      <c r="H4" s="6322" t="s">
        <v>1865</v>
      </c>
      <c r="I4" s="6323"/>
      <c r="J4" s="6323"/>
      <c r="K4" s="6323"/>
      <c r="L4" s="6323"/>
      <c r="M4" s="6324"/>
      <c r="N4" s="6322" t="s">
        <v>50</v>
      </c>
      <c r="O4" s="6323"/>
      <c r="P4" s="6323"/>
      <c r="Q4" s="6323"/>
      <c r="R4" s="6323"/>
      <c r="S4" s="6324"/>
      <c r="T4" s="6322" t="s">
        <v>325</v>
      </c>
      <c r="U4" s="6323"/>
      <c r="V4" s="6323"/>
      <c r="W4" s="6323"/>
      <c r="X4" s="6323"/>
      <c r="Y4" s="6324"/>
      <c r="Z4" s="6322" t="s">
        <v>326</v>
      </c>
      <c r="AA4" s="6323"/>
      <c r="AB4" s="6323"/>
      <c r="AC4" s="6323"/>
      <c r="AD4" s="6323"/>
      <c r="AE4" s="6324"/>
    </row>
    <row r="5" spans="1:37" s="3046" customFormat="1" ht="22.35" customHeight="1">
      <c r="A5" s="6330"/>
      <c r="B5" s="6332"/>
      <c r="C5" s="6334"/>
      <c r="D5" s="6325" t="s">
        <v>53</v>
      </c>
      <c r="E5" s="4161" t="s">
        <v>1867</v>
      </c>
      <c r="F5" s="4159"/>
      <c r="G5" s="4160"/>
      <c r="H5" s="6325" t="s">
        <v>51</v>
      </c>
      <c r="I5" s="6325" t="s">
        <v>1868</v>
      </c>
      <c r="J5" s="6325" t="s">
        <v>53</v>
      </c>
      <c r="K5" s="6322" t="s">
        <v>1867</v>
      </c>
      <c r="L5" s="6323"/>
      <c r="M5" s="6324"/>
      <c r="N5" s="6325" t="s">
        <v>51</v>
      </c>
      <c r="O5" s="6325" t="s">
        <v>2408</v>
      </c>
      <c r="P5" s="6325" t="s">
        <v>53</v>
      </c>
      <c r="Q5" s="6322" t="s">
        <v>1867</v>
      </c>
      <c r="R5" s="6323"/>
      <c r="S5" s="6324"/>
      <c r="T5" s="6325" t="s">
        <v>51</v>
      </c>
      <c r="U5" s="6325" t="s">
        <v>1872</v>
      </c>
      <c r="V5" s="6325" t="s">
        <v>53</v>
      </c>
      <c r="W5" s="6322" t="s">
        <v>1867</v>
      </c>
      <c r="X5" s="6323"/>
      <c r="Y5" s="6324"/>
      <c r="Z5" s="6325" t="s">
        <v>51</v>
      </c>
      <c r="AA5" s="6325" t="s">
        <v>1873</v>
      </c>
      <c r="AB5" s="6325" t="s">
        <v>53</v>
      </c>
      <c r="AC5" s="6322" t="s">
        <v>1867</v>
      </c>
      <c r="AD5" s="6323"/>
      <c r="AE5" s="6324"/>
    </row>
    <row r="6" spans="1:37" s="3046" customFormat="1" ht="61.2" customHeight="1">
      <c r="A6" s="6331"/>
      <c r="B6" s="6326"/>
      <c r="C6" s="6335"/>
      <c r="D6" s="6336"/>
      <c r="E6" s="584" t="s">
        <v>54</v>
      </c>
      <c r="F6" s="584" t="s">
        <v>55</v>
      </c>
      <c r="G6" s="584" t="s">
        <v>56</v>
      </c>
      <c r="H6" s="6326"/>
      <c r="I6" s="6326"/>
      <c r="J6" s="6326"/>
      <c r="K6" s="584" t="s">
        <v>54</v>
      </c>
      <c r="L6" s="584" t="s">
        <v>55</v>
      </c>
      <c r="M6" s="584" t="s">
        <v>56</v>
      </c>
      <c r="N6" s="6326"/>
      <c r="O6" s="6326"/>
      <c r="P6" s="6326"/>
      <c r="Q6" s="584" t="s">
        <v>54</v>
      </c>
      <c r="R6" s="584" t="s">
        <v>55</v>
      </c>
      <c r="S6" s="584" t="s">
        <v>56</v>
      </c>
      <c r="T6" s="6326"/>
      <c r="U6" s="6326"/>
      <c r="V6" s="6326"/>
      <c r="W6" s="584" t="s">
        <v>54</v>
      </c>
      <c r="X6" s="584" t="s">
        <v>55</v>
      </c>
      <c r="Y6" s="584" t="s">
        <v>56</v>
      </c>
      <c r="Z6" s="6326"/>
      <c r="AA6" s="6326"/>
      <c r="AB6" s="6326"/>
      <c r="AC6" s="584" t="s">
        <v>54</v>
      </c>
      <c r="AD6" s="584" t="s">
        <v>55</v>
      </c>
      <c r="AE6" s="584" t="s">
        <v>56</v>
      </c>
    </row>
    <row r="7" spans="1:37" s="3044" customFormat="1">
      <c r="A7" s="4162">
        <v>1</v>
      </c>
      <c r="B7" s="4162">
        <v>2</v>
      </c>
      <c r="C7" s="4162">
        <v>3</v>
      </c>
      <c r="D7" s="4162"/>
      <c r="E7" s="4162"/>
      <c r="F7" s="4162"/>
      <c r="G7" s="4162"/>
      <c r="H7" s="4162" t="s">
        <v>1874</v>
      </c>
      <c r="I7" s="4162" t="s">
        <v>1875</v>
      </c>
      <c r="J7" s="4162">
        <v>6</v>
      </c>
      <c r="K7" s="4162" t="s">
        <v>1876</v>
      </c>
      <c r="L7" s="4162">
        <v>8</v>
      </c>
      <c r="M7" s="4162">
        <v>9</v>
      </c>
      <c r="N7" s="4162" t="s">
        <v>1877</v>
      </c>
      <c r="O7" s="4162" t="s">
        <v>1878</v>
      </c>
      <c r="P7" s="4162">
        <v>12</v>
      </c>
      <c r="Q7" s="4162" t="s">
        <v>1879</v>
      </c>
      <c r="R7" s="4162">
        <v>14</v>
      </c>
      <c r="S7" s="4162">
        <v>15</v>
      </c>
      <c r="T7" s="4162">
        <v>16</v>
      </c>
      <c r="U7" s="4162" t="s">
        <v>1880</v>
      </c>
      <c r="V7" s="4162">
        <v>18</v>
      </c>
      <c r="W7" s="4162" t="s">
        <v>1881</v>
      </c>
      <c r="X7" s="4162">
        <v>20</v>
      </c>
      <c r="Y7" s="4162">
        <v>21</v>
      </c>
      <c r="Z7" s="4162">
        <v>22</v>
      </c>
      <c r="AA7" s="4162" t="s">
        <v>1882</v>
      </c>
      <c r="AB7" s="4162">
        <v>24</v>
      </c>
      <c r="AC7" s="4162" t="s">
        <v>1883</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1884</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1701</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1886</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1887</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1888</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1889</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06" t="s">
        <v>2409</v>
      </c>
      <c r="B1" s="6306"/>
      <c r="C1" s="6306"/>
      <c r="D1" s="6306"/>
      <c r="E1" s="6306"/>
      <c r="F1" s="6306"/>
      <c r="G1" s="6306"/>
      <c r="H1" s="6306"/>
      <c r="I1" s="6306"/>
      <c r="J1" s="6306"/>
      <c r="K1" s="6306"/>
      <c r="L1" s="6306"/>
      <c r="M1" s="6306"/>
      <c r="N1" s="6306"/>
      <c r="O1" s="6306"/>
      <c r="P1" s="6306"/>
      <c r="Q1" s="6306"/>
      <c r="R1" s="6306"/>
      <c r="S1" s="6306"/>
      <c r="T1" s="6306"/>
      <c r="U1" s="6306"/>
      <c r="V1" s="6306"/>
      <c r="W1" s="6306"/>
      <c r="X1" s="6306"/>
      <c r="Y1" s="6306"/>
    </row>
    <row r="2" spans="1:25">
      <c r="A2" s="686"/>
      <c r="B2" s="686"/>
      <c r="C2" s="686"/>
      <c r="D2" s="686"/>
      <c r="E2" s="686"/>
      <c r="F2" s="686"/>
      <c r="G2" s="6337"/>
      <c r="H2" s="6337"/>
      <c r="I2" s="6337"/>
      <c r="J2" s="686"/>
    </row>
    <row r="3" spans="1:25" ht="18.600000000000001" thickBot="1">
      <c r="A3" s="386"/>
      <c r="B3" s="685"/>
      <c r="D3" s="6337"/>
      <c r="E3" s="6337"/>
      <c r="F3" s="692"/>
      <c r="H3" s="692"/>
      <c r="I3" s="685"/>
      <c r="J3" s="4198"/>
      <c r="Y3" s="4199" t="s">
        <v>246</v>
      </c>
    </row>
    <row r="4" spans="1:25" s="4200" customFormat="1" ht="20.25" customHeight="1">
      <c r="A4" s="6338" t="s">
        <v>0</v>
      </c>
      <c r="B4" s="6340" t="s">
        <v>1893</v>
      </c>
      <c r="C4" s="6342" t="s">
        <v>1864</v>
      </c>
      <c r="D4" s="6343"/>
      <c r="E4" s="6344"/>
      <c r="F4" s="6345" t="s">
        <v>2410</v>
      </c>
      <c r="G4" s="6346"/>
      <c r="H4" s="6346"/>
      <c r="I4" s="6346"/>
      <c r="J4" s="6347"/>
      <c r="K4" s="6342" t="s">
        <v>140</v>
      </c>
      <c r="L4" s="6343"/>
      <c r="M4" s="6343"/>
      <c r="N4" s="6343"/>
      <c r="O4" s="6344"/>
      <c r="P4" s="6342" t="s">
        <v>2411</v>
      </c>
      <c r="Q4" s="6343"/>
      <c r="R4" s="6343"/>
      <c r="S4" s="6343"/>
      <c r="T4" s="6344"/>
      <c r="U4" s="6342" t="s">
        <v>2412</v>
      </c>
      <c r="V4" s="6343"/>
      <c r="W4" s="6343"/>
      <c r="X4" s="6343"/>
      <c r="Y4" s="6348"/>
    </row>
    <row r="5" spans="1:25" s="4200" customFormat="1" ht="87" customHeight="1">
      <c r="A5" s="6339"/>
      <c r="B5" s="6341"/>
      <c r="C5" s="584" t="s">
        <v>1903</v>
      </c>
      <c r="D5" s="430" t="s">
        <v>1904</v>
      </c>
      <c r="E5" s="430" t="s">
        <v>1905</v>
      </c>
      <c r="F5" s="584" t="s">
        <v>1903</v>
      </c>
      <c r="G5" s="4201" t="s">
        <v>69</v>
      </c>
      <c r="H5" s="584" t="s">
        <v>1907</v>
      </c>
      <c r="I5" s="430" t="s">
        <v>1904</v>
      </c>
      <c r="J5" s="430" t="s">
        <v>1905</v>
      </c>
      <c r="K5" s="584" t="s">
        <v>1903</v>
      </c>
      <c r="L5" s="584" t="s">
        <v>69</v>
      </c>
      <c r="M5" s="584" t="s">
        <v>1907</v>
      </c>
      <c r="N5" s="430" t="s">
        <v>1904</v>
      </c>
      <c r="O5" s="430" t="s">
        <v>1905</v>
      </c>
      <c r="P5" s="584" t="s">
        <v>1903</v>
      </c>
      <c r="Q5" s="584" t="s">
        <v>69</v>
      </c>
      <c r="R5" s="584" t="s">
        <v>1908</v>
      </c>
      <c r="S5" s="430" t="s">
        <v>1904</v>
      </c>
      <c r="T5" s="430" t="s">
        <v>1905</v>
      </c>
      <c r="U5" s="584" t="s">
        <v>1903</v>
      </c>
      <c r="V5" s="584" t="s">
        <v>69</v>
      </c>
      <c r="W5" s="584" t="s">
        <v>2413</v>
      </c>
      <c r="X5" s="430" t="s">
        <v>1904</v>
      </c>
      <c r="Y5" s="4202" t="s">
        <v>1905</v>
      </c>
    </row>
    <row r="6" spans="1:25" s="685" customFormat="1" ht="19.649999999999999" customHeight="1">
      <c r="A6" s="4203">
        <v>1</v>
      </c>
      <c r="B6" s="4204">
        <v>2</v>
      </c>
      <c r="C6" s="4204" t="s">
        <v>1360</v>
      </c>
      <c r="D6" s="4205">
        <v>4</v>
      </c>
      <c r="E6" s="4204">
        <v>5</v>
      </c>
      <c r="F6" s="4205" t="s">
        <v>1909</v>
      </c>
      <c r="G6" s="4206">
        <v>7</v>
      </c>
      <c r="H6" s="4205" t="s">
        <v>1910</v>
      </c>
      <c r="I6" s="4204">
        <v>9</v>
      </c>
      <c r="J6" s="4205">
        <v>10</v>
      </c>
      <c r="K6" s="4205" t="s">
        <v>1911</v>
      </c>
      <c r="L6" s="4204">
        <v>12</v>
      </c>
      <c r="M6" s="4204" t="s">
        <v>1912</v>
      </c>
      <c r="N6" s="4204">
        <v>14</v>
      </c>
      <c r="O6" s="4205">
        <v>15</v>
      </c>
      <c r="P6" s="4204" t="s">
        <v>1913</v>
      </c>
      <c r="Q6" s="4205">
        <v>17</v>
      </c>
      <c r="R6" s="4204" t="s">
        <v>1914</v>
      </c>
      <c r="S6" s="4205">
        <v>19</v>
      </c>
      <c r="T6" s="4204">
        <v>20</v>
      </c>
      <c r="U6" s="4205" t="s">
        <v>1915</v>
      </c>
      <c r="V6" s="4204">
        <v>22</v>
      </c>
      <c r="W6" s="4205" t="s">
        <v>1916</v>
      </c>
      <c r="X6" s="4204">
        <v>24</v>
      </c>
      <c r="Y6" s="4207">
        <v>25</v>
      </c>
    </row>
    <row r="7" spans="1:25" s="708" customFormat="1" ht="20.100000000000001" customHeight="1">
      <c r="A7" s="4208"/>
      <c r="B7" s="4209" t="s">
        <v>1917</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1680</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1918</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1729</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1681</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1682</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1684</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1685</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1686</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1687</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1688</v>
      </c>
      <c r="B24" s="44" t="s">
        <v>2414</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1730</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1690</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1691</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2415</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1715</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1716</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1921</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1923</v>
      </c>
      <c r="B40" s="685"/>
      <c r="C40" s="685"/>
      <c r="D40" s="685"/>
      <c r="E40" s="685"/>
      <c r="F40" s="685"/>
      <c r="G40" s="4246"/>
      <c r="H40" s="685"/>
      <c r="I40" s="3872">
        <f>'[2]Phụ lục 4-HĐND'!D39</f>
        <v>13000</v>
      </c>
      <c r="J40" s="685" t="s">
        <v>1924</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1926</v>
      </c>
    </row>
    <row r="86" spans="11:21">
      <c r="K86" s="667">
        <v>3226904</v>
      </c>
      <c r="P86" s="667">
        <v>2000</v>
      </c>
      <c r="Q86" s="667" t="s">
        <v>1927</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249" t="s">
        <v>2416</v>
      </c>
      <c r="B1" s="6249"/>
      <c r="C1" s="6249"/>
      <c r="D1" s="6249"/>
      <c r="E1" s="6249"/>
      <c r="F1" s="6249"/>
      <c r="G1" s="6249"/>
      <c r="H1" s="6249"/>
      <c r="AB1" s="47" t="s">
        <v>2130</v>
      </c>
      <c r="AG1" s="2883"/>
      <c r="AO1" s="2883"/>
      <c r="AW1" s="2883"/>
      <c r="BE1" s="2883"/>
      <c r="BM1" s="2883"/>
      <c r="BU1" s="2883"/>
      <c r="CC1" s="2883"/>
      <c r="CK1" s="2883"/>
      <c r="CS1" s="2883"/>
    </row>
    <row r="2" spans="1:97">
      <c r="A2" s="317"/>
      <c r="B2" s="317"/>
      <c r="D2" s="6084"/>
      <c r="E2" s="6084"/>
    </row>
    <row r="3" spans="1:97" ht="18.600000000000001" thickBot="1">
      <c r="A3" s="317"/>
      <c r="H3" s="4257" t="s">
        <v>246</v>
      </c>
    </row>
    <row r="4" spans="1:97" ht="87.6" thickTop="1">
      <c r="A4" s="4258" t="s">
        <v>200</v>
      </c>
      <c r="B4" s="2620" t="s">
        <v>1526</v>
      </c>
      <c r="C4" s="2620" t="s">
        <v>1954</v>
      </c>
      <c r="D4" s="2620" t="s">
        <v>2417</v>
      </c>
      <c r="E4" s="2620" t="s">
        <v>1454</v>
      </c>
      <c r="F4" s="2620" t="s">
        <v>1785</v>
      </c>
      <c r="G4" s="2620" t="s">
        <v>1961</v>
      </c>
      <c r="H4" s="2621" t="s">
        <v>2418</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2419</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2420</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2150</v>
      </c>
      <c r="C36" s="4290"/>
      <c r="D36" s="4291"/>
      <c r="E36" s="4291"/>
      <c r="F36" s="4291"/>
      <c r="G36" s="4291"/>
      <c r="H36" s="4292">
        <f t="shared" si="12"/>
        <v>0</v>
      </c>
    </row>
    <row r="37" spans="1:11" ht="34.799999999999997">
      <c r="A37" s="1085" t="s">
        <v>725</v>
      </c>
      <c r="B37" s="4293" t="s">
        <v>2151</v>
      </c>
      <c r="C37" s="4294"/>
      <c r="D37" s="4295"/>
      <c r="E37" s="4295"/>
      <c r="F37" s="4295"/>
      <c r="G37" s="4295"/>
      <c r="H37" s="46">
        <f t="shared" si="12"/>
        <v>0</v>
      </c>
    </row>
    <row r="38" spans="1:11">
      <c r="A38" s="1085" t="s">
        <v>3</v>
      </c>
      <c r="B38" s="4293" t="s">
        <v>2021</v>
      </c>
      <c r="C38" s="4294"/>
      <c r="D38" s="4295"/>
      <c r="E38" s="4295"/>
      <c r="F38" s="4295"/>
      <c r="G38" s="4295"/>
      <c r="H38" s="46">
        <f t="shared" si="12"/>
        <v>0</v>
      </c>
    </row>
    <row r="39" spans="1:11">
      <c r="A39" s="1085" t="s">
        <v>33</v>
      </c>
      <c r="B39" s="4293" t="s">
        <v>2022</v>
      </c>
      <c r="C39" s="4294"/>
      <c r="D39" s="4295"/>
      <c r="E39" s="4295"/>
      <c r="F39" s="4295"/>
      <c r="G39" s="4295"/>
      <c r="H39" s="46">
        <f t="shared" si="12"/>
        <v>0</v>
      </c>
    </row>
    <row r="40" spans="1:11">
      <c r="A40" s="1085" t="s">
        <v>182</v>
      </c>
      <c r="B40" s="4293" t="s">
        <v>2152</v>
      </c>
      <c r="C40" s="4294"/>
      <c r="D40" s="4295"/>
      <c r="E40" s="4295"/>
      <c r="F40" s="4295"/>
      <c r="G40" s="4295"/>
      <c r="H40" s="46">
        <f t="shared" si="12"/>
        <v>0</v>
      </c>
    </row>
    <row r="41" spans="1:11">
      <c r="A41" s="1084">
        <v>1</v>
      </c>
      <c r="B41" s="4296" t="s">
        <v>2026</v>
      </c>
      <c r="C41" s="2773"/>
      <c r="D41" s="4297"/>
      <c r="E41" s="4297"/>
      <c r="F41" s="4297"/>
      <c r="G41" s="4297"/>
      <c r="H41" s="46">
        <f t="shared" si="12"/>
        <v>0</v>
      </c>
    </row>
    <row r="42" spans="1:11" ht="36">
      <c r="A42" s="1084">
        <v>2</v>
      </c>
      <c r="B42" s="4296" t="s">
        <v>2153</v>
      </c>
      <c r="C42" s="2773"/>
      <c r="D42" s="4297"/>
      <c r="E42" s="4297"/>
      <c r="F42" s="4297"/>
      <c r="G42" s="4297"/>
      <c r="H42" s="46">
        <f t="shared" si="12"/>
        <v>0</v>
      </c>
    </row>
    <row r="43" spans="1:11">
      <c r="A43" s="1085" t="s">
        <v>215</v>
      </c>
      <c r="B43" s="4293" t="s">
        <v>2154</v>
      </c>
      <c r="C43" s="4294"/>
      <c r="D43" s="4295"/>
      <c r="E43" s="4295"/>
      <c r="F43" s="4295"/>
      <c r="G43" s="4295"/>
      <c r="H43" s="46">
        <f t="shared" si="12"/>
        <v>0</v>
      </c>
    </row>
    <row r="44" spans="1:11">
      <c r="A44" s="1084">
        <v>1</v>
      </c>
      <c r="B44" s="4296" t="s">
        <v>2029</v>
      </c>
      <c r="C44" s="2773"/>
      <c r="D44" s="4297"/>
      <c r="E44" s="4297"/>
      <c r="F44" s="4297"/>
      <c r="G44" s="4297"/>
      <c r="H44" s="46">
        <f t="shared" si="12"/>
        <v>0</v>
      </c>
    </row>
    <row r="45" spans="1:11">
      <c r="A45" s="1084">
        <v>2</v>
      </c>
      <c r="B45" s="4296" t="s">
        <v>2030</v>
      </c>
      <c r="C45" s="2773"/>
      <c r="D45" s="4297"/>
      <c r="E45" s="4297"/>
      <c r="F45" s="4297"/>
      <c r="G45" s="4297"/>
      <c r="H45" s="46">
        <f t="shared" si="12"/>
        <v>0</v>
      </c>
    </row>
    <row r="46" spans="1:11">
      <c r="A46" s="1085" t="s">
        <v>718</v>
      </c>
      <c r="B46" s="4293" t="s">
        <v>2031</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135" t="s">
        <v>2421</v>
      </c>
      <c r="B1" s="6135"/>
      <c r="C1" s="6135"/>
      <c r="D1" s="6135"/>
      <c r="E1" s="6135"/>
      <c r="F1" s="6135"/>
      <c r="G1" s="6135"/>
      <c r="H1" s="6135"/>
      <c r="I1" s="6135"/>
      <c r="J1" s="6135"/>
      <c r="K1" s="6135"/>
      <c r="L1" s="6135"/>
      <c r="M1" s="6135"/>
      <c r="N1" s="6135"/>
      <c r="O1" s="6135"/>
      <c r="P1" s="6135"/>
      <c r="Q1" s="6135"/>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352" t="s">
        <v>964</v>
      </c>
      <c r="S2" s="6352"/>
      <c r="T2" s="6352"/>
      <c r="U2" s="1192"/>
      <c r="V2" s="1192"/>
      <c r="W2" s="1192"/>
      <c r="X2" s="1192"/>
      <c r="Y2" s="1192"/>
      <c r="Z2" s="1192"/>
    </row>
    <row r="3" spans="1:32" s="4301" customFormat="1" ht="17.25" customHeight="1">
      <c r="A3" s="6353" t="s">
        <v>200</v>
      </c>
      <c r="B3" s="6355" t="s">
        <v>201</v>
      </c>
      <c r="C3" s="6357" t="s">
        <v>2422</v>
      </c>
      <c r="D3" s="6357"/>
      <c r="E3" s="6357"/>
      <c r="F3" s="6358" t="s">
        <v>2423</v>
      </c>
      <c r="G3" s="6359"/>
      <c r="H3" s="6360"/>
      <c r="I3" s="6358" t="s">
        <v>219</v>
      </c>
      <c r="J3" s="6359"/>
      <c r="K3" s="6360"/>
      <c r="L3" s="6358" t="s">
        <v>2424</v>
      </c>
      <c r="M3" s="6359"/>
      <c r="N3" s="6360"/>
      <c r="O3" s="6358" t="s">
        <v>2141</v>
      </c>
      <c r="P3" s="6359"/>
      <c r="Q3" s="6361"/>
      <c r="R3" s="6350" t="s">
        <v>2425</v>
      </c>
      <c r="S3" s="6350"/>
      <c r="T3" s="6351"/>
      <c r="U3" s="6349" t="s">
        <v>2426</v>
      </c>
      <c r="V3" s="6350"/>
      <c r="W3" s="6351"/>
      <c r="X3" s="6349" t="s">
        <v>2427</v>
      </c>
      <c r="Y3" s="6350"/>
      <c r="Z3" s="6351"/>
      <c r="AA3" s="6349" t="s">
        <v>2428</v>
      </c>
      <c r="AB3" s="6350"/>
      <c r="AC3" s="6351"/>
      <c r="AD3" s="6349" t="s">
        <v>2429</v>
      </c>
      <c r="AE3" s="6350"/>
      <c r="AF3" s="6351"/>
    </row>
    <row r="4" spans="1:32" s="4301" customFormat="1">
      <c r="A4" s="6354"/>
      <c r="B4" s="6356"/>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1839</v>
      </c>
      <c r="W4" s="1586" t="s">
        <v>1840</v>
      </c>
      <c r="X4" s="2237" t="s">
        <v>220</v>
      </c>
      <c r="Y4" s="1586" t="s">
        <v>1839</v>
      </c>
      <c r="Z4" s="1586" t="s">
        <v>1840</v>
      </c>
      <c r="AA4" s="2237" t="s">
        <v>220</v>
      </c>
      <c r="AB4" s="1586" t="s">
        <v>1839</v>
      </c>
      <c r="AC4" s="1586" t="s">
        <v>1840</v>
      </c>
      <c r="AD4" s="2237" t="s">
        <v>220</v>
      </c>
      <c r="AE4" s="1586" t="s">
        <v>1839</v>
      </c>
      <c r="AF4" s="1586" t="s">
        <v>1840</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2430</v>
      </c>
      <c r="V5" s="4307"/>
      <c r="W5" s="4307"/>
      <c r="X5" s="4311" t="s">
        <v>2430</v>
      </c>
      <c r="Y5" s="4307"/>
      <c r="Z5" s="4307"/>
      <c r="AA5" s="4311" t="s">
        <v>2430</v>
      </c>
      <c r="AB5" s="4307"/>
      <c r="AC5" s="4307"/>
      <c r="AD5" s="4311" t="s">
        <v>2430</v>
      </c>
      <c r="AE5" s="4307"/>
      <c r="AF5" s="4307"/>
    </row>
    <row r="6" spans="1:32" s="4301" customFormat="1" ht="17.399999999999999">
      <c r="A6" s="4312"/>
      <c r="B6" s="2779" t="s">
        <v>2431</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2432</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2433</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2434</v>
      </c>
      <c r="V9" s="3098"/>
      <c r="W9" s="3098"/>
      <c r="X9" s="4315" t="s">
        <v>2434</v>
      </c>
      <c r="Y9" s="3098"/>
      <c r="Z9" s="3098"/>
      <c r="AA9" s="4315" t="s">
        <v>2434</v>
      </c>
      <c r="AB9" s="3098"/>
      <c r="AC9" s="3098"/>
      <c r="AD9" s="4315" t="s">
        <v>2434</v>
      </c>
      <c r="AE9" s="3098"/>
      <c r="AF9" s="3098"/>
    </row>
    <row r="10" spans="1:32" s="4301" customFormat="1" ht="18">
      <c r="A10" s="4317"/>
      <c r="B10" s="43" t="s">
        <v>2435</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2436</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2437</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2438</v>
      </c>
      <c r="V13" s="3098"/>
      <c r="W13" s="3098"/>
      <c r="X13" s="4315" t="s">
        <v>2438</v>
      </c>
      <c r="Y13" s="3098"/>
      <c r="Z13" s="3098"/>
      <c r="AA13" s="4315" t="s">
        <v>2438</v>
      </c>
      <c r="AB13" s="3098"/>
      <c r="AC13" s="3098"/>
      <c r="AD13" s="4315" t="s">
        <v>2438</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2439</v>
      </c>
      <c r="V19" s="3098"/>
      <c r="W19" s="3098"/>
      <c r="X19" s="4315" t="s">
        <v>2439</v>
      </c>
      <c r="Y19" s="3098"/>
      <c r="Z19" s="3098"/>
      <c r="AA19" s="4315" t="s">
        <v>2439</v>
      </c>
      <c r="AB19" s="3098"/>
      <c r="AC19" s="3098"/>
      <c r="AD19" s="4315" t="s">
        <v>2439</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2440</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2441</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2442</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2443</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1918</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2444</v>
      </c>
      <c r="V29" s="3098"/>
      <c r="W29" s="3098"/>
      <c r="X29" s="4315" t="s">
        <v>2444</v>
      </c>
      <c r="Y29" s="3098"/>
      <c r="Z29" s="3098"/>
      <c r="AA29" s="4315" t="s">
        <v>2444</v>
      </c>
      <c r="AB29" s="3098"/>
      <c r="AC29" s="3098"/>
      <c r="AD29" s="4315" t="s">
        <v>2444</v>
      </c>
      <c r="AE29" s="3098"/>
      <c r="AF29" s="3098"/>
    </row>
    <row r="30" spans="1:32" s="4322" customFormat="1" ht="18">
      <c r="A30" s="4317" t="s">
        <v>29</v>
      </c>
      <c r="B30" s="43" t="s">
        <v>2445</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2446</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2405</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2447</v>
      </c>
      <c r="Y37" s="3536">
        <f>1+Y36</f>
        <v>0.95544014706337443</v>
      </c>
      <c r="Z37" s="3536">
        <f>1+Z36</f>
        <v>1.14017765430712</v>
      </c>
      <c r="AA37" s="3098" t="s">
        <v>2447</v>
      </c>
      <c r="AB37" s="3536">
        <f>1+AB36</f>
        <v>1.1403256465125782</v>
      </c>
      <c r="AC37" s="3536">
        <f>1+AC36</f>
        <v>0.98159696516809269</v>
      </c>
      <c r="AD37" s="3098" t="s">
        <v>2447</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2448</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11" t="s">
        <v>2449</v>
      </c>
      <c r="B1" s="6111"/>
      <c r="C1" s="6111"/>
      <c r="D1" s="6111"/>
      <c r="E1" s="6111"/>
      <c r="F1" s="6111"/>
      <c r="G1" s="6111"/>
      <c r="H1" s="6111"/>
      <c r="I1" s="6111"/>
      <c r="J1" s="6111"/>
      <c r="K1" s="6111"/>
      <c r="L1" s="2083"/>
      <c r="M1" s="2083"/>
      <c r="N1" s="2083"/>
      <c r="O1" s="2083"/>
      <c r="P1" s="2083"/>
      <c r="Q1" s="2083"/>
      <c r="R1" s="431"/>
      <c r="S1" s="431"/>
      <c r="T1" s="431"/>
      <c r="AC1" s="431"/>
    </row>
    <row r="2" spans="1:32" ht="18.600000000000001" thickBot="1">
      <c r="A2" s="641"/>
      <c r="B2" s="641"/>
      <c r="C2" s="319"/>
      <c r="D2" s="319"/>
      <c r="E2" s="319"/>
      <c r="F2" s="319"/>
      <c r="G2" s="47"/>
      <c r="H2" s="679"/>
      <c r="I2" s="6367" t="s">
        <v>964</v>
      </c>
      <c r="J2" s="6367"/>
      <c r="K2" s="6367"/>
      <c r="L2" s="4342"/>
      <c r="M2" s="4342"/>
      <c r="N2" s="4342"/>
      <c r="O2" s="4342"/>
      <c r="P2" s="2565"/>
      <c r="Q2" s="2565"/>
      <c r="R2" s="2565"/>
      <c r="S2" s="2565"/>
      <c r="T2" s="2565"/>
    </row>
    <row r="3" spans="1:32" s="641" customFormat="1" ht="17.25" customHeight="1" thickTop="1">
      <c r="A3" s="6368" t="s">
        <v>200</v>
      </c>
      <c r="B3" s="6370" t="s">
        <v>201</v>
      </c>
      <c r="C3" s="6080" t="s">
        <v>2422</v>
      </c>
      <c r="D3" s="6080"/>
      <c r="E3" s="6080"/>
      <c r="F3" s="6080" t="s">
        <v>2423</v>
      </c>
      <c r="G3" s="6080"/>
      <c r="H3" s="6080"/>
      <c r="I3" s="6227" t="s">
        <v>219</v>
      </c>
      <c r="J3" s="6228"/>
      <c r="K3" s="6230"/>
      <c r="L3" s="6227" t="s">
        <v>2424</v>
      </c>
      <c r="M3" s="6228"/>
      <c r="N3" s="6230"/>
      <c r="O3" s="6227" t="s">
        <v>2141</v>
      </c>
      <c r="P3" s="6228"/>
      <c r="Q3" s="6229"/>
      <c r="R3" s="6365" t="s">
        <v>2450</v>
      </c>
      <c r="S3" s="6365"/>
      <c r="T3" s="6366"/>
      <c r="U3" s="6362" t="s">
        <v>2426</v>
      </c>
      <c r="V3" s="6363"/>
      <c r="W3" s="6364"/>
      <c r="X3" s="6362" t="s">
        <v>2427</v>
      </c>
      <c r="Y3" s="6363"/>
      <c r="Z3" s="6364"/>
      <c r="AA3" s="6362" t="s">
        <v>2428</v>
      </c>
      <c r="AB3" s="6363"/>
      <c r="AC3" s="6364"/>
      <c r="AD3" s="6362" t="s">
        <v>2429</v>
      </c>
      <c r="AE3" s="6363"/>
      <c r="AF3" s="6364"/>
    </row>
    <row r="4" spans="1:32" s="641" customFormat="1" ht="17.399999999999999">
      <c r="A4" s="6369"/>
      <c r="B4" s="6371"/>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1839</v>
      </c>
      <c r="W4" s="2239" t="s">
        <v>1840</v>
      </c>
      <c r="X4" s="4346" t="s">
        <v>220</v>
      </c>
      <c r="Y4" s="2239" t="s">
        <v>1839</v>
      </c>
      <c r="Z4" s="2239" t="s">
        <v>1840</v>
      </c>
      <c r="AA4" s="4346" t="s">
        <v>220</v>
      </c>
      <c r="AB4" s="2239" t="s">
        <v>1839</v>
      </c>
      <c r="AC4" s="2239" t="s">
        <v>1840</v>
      </c>
      <c r="AD4" s="4346" t="s">
        <v>220</v>
      </c>
      <c r="AE4" s="2239" t="s">
        <v>1839</v>
      </c>
      <c r="AF4" s="2239" t="s">
        <v>1840</v>
      </c>
    </row>
    <row r="5" spans="1:32" s="641" customFormat="1" ht="17.399999999999999">
      <c r="A5" s="4347" t="s">
        <v>1</v>
      </c>
      <c r="B5" s="4348" t="s">
        <v>2451</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2430</v>
      </c>
      <c r="V5" s="4353"/>
      <c r="W5" s="4353"/>
      <c r="X5" s="4354" t="s">
        <v>2430</v>
      </c>
      <c r="Y5" s="4353"/>
      <c r="Z5" s="4353"/>
      <c r="AA5" s="4354" t="s">
        <v>2430</v>
      </c>
      <c r="AB5" s="4353"/>
      <c r="AC5" s="4353"/>
      <c r="AD5" s="4354" t="s">
        <v>2430</v>
      </c>
      <c r="AE5" s="4353"/>
      <c r="AF5" s="4353"/>
    </row>
    <row r="6" spans="1:32" s="641" customFormat="1" ht="17.399999999999999">
      <c r="A6" s="52"/>
      <c r="B6" s="2779" t="s">
        <v>2452</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2453</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2434</v>
      </c>
      <c r="V9" s="2281"/>
      <c r="W9" s="2281"/>
      <c r="X9" s="4357" t="s">
        <v>2434</v>
      </c>
      <c r="Y9" s="2281"/>
      <c r="Z9" s="2281"/>
      <c r="AA9" s="4357" t="s">
        <v>2434</v>
      </c>
      <c r="AB9" s="2281"/>
      <c r="AC9" s="2281"/>
      <c r="AD9" s="4357" t="s">
        <v>2434</v>
      </c>
      <c r="AE9" s="2281"/>
      <c r="AF9" s="2281"/>
    </row>
    <row r="10" spans="1:32" s="641" customFormat="1">
      <c r="A10" s="593"/>
      <c r="B10" s="43" t="s">
        <v>2454</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2455</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2456</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2438</v>
      </c>
      <c r="V13" s="2281"/>
      <c r="W13" s="2281"/>
      <c r="X13" s="4357" t="s">
        <v>2438</v>
      </c>
      <c r="Y13" s="2281"/>
      <c r="Z13" s="2281"/>
      <c r="AA13" s="4357" t="s">
        <v>2438</v>
      </c>
      <c r="AB13" s="2281"/>
      <c r="AC13" s="2281"/>
      <c r="AD13" s="4357" t="s">
        <v>2438</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1890</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2400</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2457</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2439</v>
      </c>
      <c r="V19" s="2281"/>
      <c r="W19" s="2281"/>
      <c r="X19" s="4357" t="s">
        <v>2439</v>
      </c>
      <c r="Y19" s="2281"/>
      <c r="Z19" s="2281"/>
      <c r="AA19" s="4357" t="s">
        <v>2439</v>
      </c>
      <c r="AB19" s="2281"/>
      <c r="AC19" s="2281"/>
      <c r="AD19" s="4357" t="s">
        <v>2439</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2458</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2444</v>
      </c>
      <c r="V29" s="2281"/>
      <c r="W29" s="2281"/>
      <c r="X29" s="4357" t="s">
        <v>2444</v>
      </c>
      <c r="Y29" s="2281"/>
      <c r="Z29" s="2281"/>
      <c r="AA29" s="4357" t="s">
        <v>2444</v>
      </c>
      <c r="AB29" s="2281"/>
      <c r="AC29" s="2281"/>
      <c r="AD29" s="4357" t="s">
        <v>2444</v>
      </c>
      <c r="AE29" s="2281"/>
      <c r="AF29" s="2281"/>
    </row>
    <row r="30" spans="1:32" s="641" customFormat="1">
      <c r="A30" s="593" t="s">
        <v>29</v>
      </c>
      <c r="B30" s="43" t="s">
        <v>2403</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2404</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2405</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2447</v>
      </c>
      <c r="Y37" s="4368">
        <f>1+Y36</f>
        <v>1.03999730744416</v>
      </c>
      <c r="Z37" s="4368">
        <f>1+Z36</f>
        <v>1.121374366543801</v>
      </c>
      <c r="AA37" s="4371" t="s">
        <v>2447</v>
      </c>
      <c r="AB37" s="4368">
        <f>1+AB36</f>
        <v>1.0402452317013346</v>
      </c>
      <c r="AC37" s="4368">
        <f>1+AC36</f>
        <v>0.98011710358569792</v>
      </c>
      <c r="AD37" s="4371" t="s">
        <v>2447</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2459</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2460</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2461</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2462</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2463</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2464</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2465</v>
      </c>
      <c r="F56" s="2307"/>
      <c r="H56" s="2307"/>
    </row>
    <row r="57" spans="1:20">
      <c r="A57" s="583">
        <v>1</v>
      </c>
      <c r="B57" s="381" t="s">
        <v>2466</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2467</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2468</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2155</v>
      </c>
      <c r="D1" s="1193"/>
      <c r="E1" s="1193" t="s">
        <v>2130</v>
      </c>
      <c r="F1" s="1193"/>
      <c r="G1" s="1193"/>
      <c r="H1" s="1193"/>
      <c r="I1" s="1193"/>
      <c r="J1" s="1193"/>
      <c r="K1" s="1193"/>
      <c r="L1" s="1193"/>
      <c r="M1" s="1193"/>
      <c r="N1" s="1193"/>
      <c r="AD1" s="2428" t="s">
        <v>2130</v>
      </c>
      <c r="AI1" s="1193" t="s">
        <v>2155</v>
      </c>
      <c r="AQ1" s="1193" t="s">
        <v>2155</v>
      </c>
      <c r="AY1" s="1193" t="s">
        <v>2155</v>
      </c>
      <c r="BG1" s="1193" t="s">
        <v>2155</v>
      </c>
      <c r="BO1" s="1193" t="s">
        <v>2155</v>
      </c>
      <c r="BW1" s="1193" t="s">
        <v>2155</v>
      </c>
      <c r="CE1" s="1193" t="s">
        <v>2155</v>
      </c>
      <c r="CM1" s="1193" t="s">
        <v>2155</v>
      </c>
      <c r="CU1" s="1193" t="s">
        <v>2155</v>
      </c>
    </row>
    <row r="2" spans="1:99">
      <c r="A2" s="6373" t="s">
        <v>2156</v>
      </c>
      <c r="B2" s="6373"/>
      <c r="C2" s="6373"/>
      <c r="D2" s="6373"/>
      <c r="E2" s="6373"/>
      <c r="F2" s="6373"/>
      <c r="G2" s="6373"/>
      <c r="H2" s="6373"/>
      <c r="I2" s="6373"/>
      <c r="J2" s="6373"/>
      <c r="K2" s="6373"/>
      <c r="L2" s="6373"/>
      <c r="M2" s="6373"/>
      <c r="N2" s="6373"/>
      <c r="O2" s="6373"/>
      <c r="P2" s="6373"/>
      <c r="Q2" s="6373"/>
      <c r="R2" s="6373"/>
      <c r="S2" s="6373"/>
      <c r="T2" s="6373"/>
      <c r="U2" s="6373"/>
      <c r="V2" s="6373"/>
      <c r="W2" s="6373"/>
      <c r="X2" s="6373"/>
      <c r="Y2" s="6373"/>
      <c r="Z2" s="6373"/>
      <c r="AA2" s="6373"/>
      <c r="AB2" s="6373"/>
      <c r="AC2" s="6373"/>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20" t="s">
        <v>0</v>
      </c>
      <c r="B5" s="6372" t="s">
        <v>1893</v>
      </c>
      <c r="C5" s="6372" t="s">
        <v>1934</v>
      </c>
      <c r="D5" s="6372" t="s">
        <v>1937</v>
      </c>
      <c r="E5" s="6372" t="s">
        <v>1938</v>
      </c>
      <c r="F5" s="6372" t="s">
        <v>1939</v>
      </c>
      <c r="G5" s="6372" t="s">
        <v>1940</v>
      </c>
      <c r="H5" s="6372" t="s">
        <v>1941</v>
      </c>
      <c r="I5" s="6372" t="s">
        <v>2038</v>
      </c>
      <c r="J5" s="6372" t="s">
        <v>2039</v>
      </c>
      <c r="K5" s="6372" t="s">
        <v>2040</v>
      </c>
      <c r="L5" s="6374" t="s">
        <v>1944</v>
      </c>
      <c r="M5" s="6374" t="s">
        <v>1945</v>
      </c>
      <c r="N5" s="6372" t="s">
        <v>2041</v>
      </c>
      <c r="O5" s="6372" t="s">
        <v>2042</v>
      </c>
      <c r="P5" s="6372" t="s">
        <v>2043</v>
      </c>
      <c r="Q5" s="6372" t="s">
        <v>2044</v>
      </c>
      <c r="R5" s="6372" t="s">
        <v>2045</v>
      </c>
      <c r="S5" s="6372" t="s">
        <v>2040</v>
      </c>
      <c r="T5" s="6372" t="s">
        <v>2046</v>
      </c>
      <c r="U5" s="6372" t="s">
        <v>2047</v>
      </c>
      <c r="V5" s="6372" t="s">
        <v>2048</v>
      </c>
      <c r="W5" s="6372" t="s">
        <v>2157</v>
      </c>
      <c r="X5" s="6372" t="s">
        <v>50</v>
      </c>
      <c r="Y5" s="6372" t="s">
        <v>121</v>
      </c>
      <c r="Z5" s="6372" t="s">
        <v>2158</v>
      </c>
      <c r="AA5" s="6372" t="s">
        <v>2045</v>
      </c>
      <c r="AB5" s="6372" t="s">
        <v>2040</v>
      </c>
      <c r="AC5" s="6372" t="s">
        <v>2159</v>
      </c>
      <c r="AD5" s="6372" t="s">
        <v>2160</v>
      </c>
    </row>
    <row r="6" spans="1:99" s="3586" customFormat="1">
      <c r="A6" s="6320"/>
      <c r="B6" s="6372"/>
      <c r="C6" s="6372"/>
      <c r="D6" s="6372"/>
      <c r="E6" s="6372"/>
      <c r="F6" s="6372"/>
      <c r="G6" s="6372"/>
      <c r="H6" s="6372"/>
      <c r="I6" s="6372"/>
      <c r="J6" s="6372"/>
      <c r="K6" s="6372"/>
      <c r="L6" s="6374"/>
      <c r="M6" s="6374"/>
      <c r="N6" s="6372"/>
      <c r="O6" s="6372"/>
      <c r="P6" s="6372"/>
      <c r="Q6" s="6372"/>
      <c r="R6" s="6372"/>
      <c r="S6" s="6372"/>
      <c r="T6" s="6372"/>
      <c r="U6" s="6372"/>
      <c r="V6" s="6372"/>
      <c r="W6" s="6372"/>
      <c r="X6" s="6372"/>
      <c r="Y6" s="6372"/>
      <c r="Z6" s="6372"/>
      <c r="AA6" s="6372"/>
      <c r="AB6" s="6372"/>
      <c r="AC6" s="6372"/>
      <c r="AD6" s="6372"/>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1921</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2076</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2161</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2162</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2163</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1993</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2076</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2161</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2162</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2163</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2164</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2076</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2161</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2162</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2163</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373" t="s">
        <v>1859</v>
      </c>
      <c r="B1" s="6373"/>
      <c r="C1" s="6373"/>
      <c r="D1" s="6373"/>
      <c r="E1" s="6373"/>
      <c r="F1" s="6373"/>
      <c r="G1" s="6373"/>
      <c r="H1" s="6373"/>
      <c r="I1" s="6373"/>
      <c r="J1" s="6373"/>
      <c r="K1" s="6373"/>
      <c r="L1" s="6373"/>
      <c r="M1" s="6373"/>
      <c r="N1" s="6373"/>
      <c r="O1" s="6373"/>
      <c r="P1" s="6373"/>
      <c r="Q1" s="6373"/>
      <c r="R1" s="6373"/>
      <c r="S1" s="6373"/>
      <c r="T1" s="3052"/>
      <c r="U1" s="3052"/>
      <c r="V1" s="3052"/>
      <c r="W1" s="3052"/>
      <c r="X1" s="3052"/>
      <c r="Y1" s="3052"/>
      <c r="AA1" s="3054"/>
      <c r="AG1" s="3054"/>
      <c r="AL1" s="1729"/>
      <c r="AM1" s="1729"/>
      <c r="AN1" s="1729"/>
      <c r="AO1" s="1729"/>
      <c r="AP1" s="1729"/>
      <c r="AQ1" s="1729"/>
    </row>
    <row r="2" spans="1:67" s="3053" customFormat="1">
      <c r="A2" s="3055"/>
      <c r="B2" s="3055"/>
      <c r="C2" s="3055"/>
      <c r="D2" s="3055"/>
      <c r="E2" s="6391"/>
      <c r="F2" s="6391"/>
      <c r="G2" s="6391"/>
      <c r="H2" s="3056">
        <f>K8/E8</f>
        <v>1.1817745553595258</v>
      </c>
      <c r="I2" s="3057"/>
      <c r="J2" s="3058"/>
      <c r="K2" s="6392"/>
      <c r="L2" s="6392"/>
      <c r="M2" s="6392"/>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393"/>
      <c r="F3" s="6393"/>
      <c r="G3" s="6393"/>
      <c r="H3" s="3064">
        <f>+H46-C46</f>
        <v>0</v>
      </c>
      <c r="I3" s="3065"/>
      <c r="J3" s="3066"/>
      <c r="L3" s="3067"/>
      <c r="S3" s="3069" t="s">
        <v>1860</v>
      </c>
      <c r="T3" s="3070"/>
      <c r="U3" s="3070"/>
      <c r="V3" s="3070"/>
      <c r="W3" s="3070"/>
      <c r="X3" s="3070"/>
      <c r="Y3" s="3070"/>
      <c r="AC3" s="3072">
        <f>AC10/Z10</f>
        <v>0.89056319457524957</v>
      </c>
    </row>
    <row r="4" spans="1:67" s="3074" customFormat="1" ht="22.95" customHeight="1">
      <c r="A4" s="6329" t="s">
        <v>0</v>
      </c>
      <c r="B4" s="6388" t="s">
        <v>1861</v>
      </c>
      <c r="C4" s="6395" t="s">
        <v>1862</v>
      </c>
      <c r="D4" s="3073"/>
      <c r="E4" s="3073"/>
      <c r="F4" s="3073"/>
      <c r="G4" s="3037"/>
      <c r="H4" s="6380" t="s">
        <v>1863</v>
      </c>
      <c r="I4" s="6381"/>
      <c r="J4" s="6381"/>
      <c r="K4" s="6381"/>
      <c r="L4" s="6381"/>
      <c r="M4" s="6382"/>
      <c r="N4" s="6377" t="s">
        <v>1864</v>
      </c>
      <c r="O4" s="6378"/>
      <c r="P4" s="6378"/>
      <c r="Q4" s="6378"/>
      <c r="R4" s="6378"/>
      <c r="S4" s="6379"/>
      <c r="T4" s="6377" t="s">
        <v>1865</v>
      </c>
      <c r="U4" s="6378"/>
      <c r="V4" s="6378"/>
      <c r="W4" s="6378"/>
      <c r="X4" s="6378"/>
      <c r="Y4" s="6379"/>
      <c r="Z4" s="6385" t="s">
        <v>1866</v>
      </c>
      <c r="AA4" s="6386"/>
      <c r="AB4" s="6386"/>
      <c r="AC4" s="6386"/>
      <c r="AD4" s="6386"/>
      <c r="AE4" s="6387"/>
      <c r="AF4" s="6380" t="s">
        <v>325</v>
      </c>
      <c r="AG4" s="6381"/>
      <c r="AH4" s="6381"/>
      <c r="AI4" s="6381"/>
      <c r="AJ4" s="6381"/>
      <c r="AK4" s="6382"/>
      <c r="AL4" s="6377" t="s">
        <v>326</v>
      </c>
      <c r="AM4" s="6378"/>
      <c r="AN4" s="6378"/>
      <c r="AO4" s="6378"/>
      <c r="AP4" s="6378"/>
      <c r="AQ4" s="6379"/>
      <c r="AR4" s="6377" t="s">
        <v>358</v>
      </c>
      <c r="AS4" s="6378"/>
      <c r="AT4" s="6378"/>
      <c r="AU4" s="6378"/>
      <c r="AV4" s="6378"/>
      <c r="AW4" s="6379"/>
      <c r="AX4" s="6377" t="s">
        <v>359</v>
      </c>
      <c r="AY4" s="6378"/>
      <c r="AZ4" s="6378"/>
      <c r="BA4" s="6378"/>
      <c r="BB4" s="6378"/>
      <c r="BC4" s="6379"/>
      <c r="BD4" s="6377" t="s">
        <v>360</v>
      </c>
      <c r="BE4" s="6378"/>
      <c r="BF4" s="6378"/>
      <c r="BG4" s="6378"/>
      <c r="BH4" s="6378"/>
      <c r="BI4" s="6379"/>
      <c r="BJ4" s="6377" t="s">
        <v>361</v>
      </c>
      <c r="BK4" s="6378"/>
      <c r="BL4" s="6378"/>
      <c r="BM4" s="6378"/>
      <c r="BN4" s="6378"/>
      <c r="BO4" s="6379"/>
    </row>
    <row r="5" spans="1:67" s="3074" customFormat="1" ht="22.35" customHeight="1">
      <c r="A5" s="6330"/>
      <c r="B5" s="6394"/>
      <c r="C5" s="6396"/>
      <c r="D5" s="6388" t="s">
        <v>53</v>
      </c>
      <c r="E5" s="3039" t="s">
        <v>1867</v>
      </c>
      <c r="F5" s="3073"/>
      <c r="G5" s="3037"/>
      <c r="H5" s="6388" t="s">
        <v>51</v>
      </c>
      <c r="I5" s="6388" t="s">
        <v>1868</v>
      </c>
      <c r="J5" s="6388" t="s">
        <v>53</v>
      </c>
      <c r="K5" s="6380" t="s">
        <v>1867</v>
      </c>
      <c r="L5" s="6381"/>
      <c r="M5" s="6382"/>
      <c r="N5" s="6375" t="s">
        <v>51</v>
      </c>
      <c r="O5" s="6375" t="s">
        <v>1869</v>
      </c>
      <c r="P5" s="6375" t="s">
        <v>53</v>
      </c>
      <c r="Q5" s="6377" t="s">
        <v>1867</v>
      </c>
      <c r="R5" s="6378"/>
      <c r="S5" s="6379"/>
      <c r="T5" s="6375" t="s">
        <v>51</v>
      </c>
      <c r="U5" s="6375" t="s">
        <v>1870</v>
      </c>
      <c r="V5" s="6375" t="s">
        <v>53</v>
      </c>
      <c r="W5" s="6377" t="s">
        <v>1867</v>
      </c>
      <c r="X5" s="6378"/>
      <c r="Y5" s="6379"/>
      <c r="Z5" s="6383" t="s">
        <v>51</v>
      </c>
      <c r="AA5" s="6383" t="s">
        <v>1871</v>
      </c>
      <c r="AB5" s="6383" t="s">
        <v>53</v>
      </c>
      <c r="AC5" s="6385" t="s">
        <v>1867</v>
      </c>
      <c r="AD5" s="6386"/>
      <c r="AE5" s="6387"/>
      <c r="AF5" s="6388" t="s">
        <v>51</v>
      </c>
      <c r="AG5" s="6388" t="s">
        <v>1872</v>
      </c>
      <c r="AH5" s="6388" t="s">
        <v>53</v>
      </c>
      <c r="AI5" s="6380" t="s">
        <v>1867</v>
      </c>
      <c r="AJ5" s="6381"/>
      <c r="AK5" s="6382"/>
      <c r="AL5" s="6375" t="s">
        <v>51</v>
      </c>
      <c r="AM5" s="6375" t="s">
        <v>1873</v>
      </c>
      <c r="AN5" s="6375" t="s">
        <v>53</v>
      </c>
      <c r="AO5" s="6377" t="s">
        <v>1867</v>
      </c>
      <c r="AP5" s="6378"/>
      <c r="AQ5" s="6379"/>
      <c r="AR5" s="6375" t="s">
        <v>51</v>
      </c>
      <c r="AS5" s="6375" t="s">
        <v>1872</v>
      </c>
      <c r="AT5" s="6375" t="s">
        <v>53</v>
      </c>
      <c r="AU5" s="6377" t="s">
        <v>1867</v>
      </c>
      <c r="AV5" s="6378"/>
      <c r="AW5" s="6379"/>
      <c r="AX5" s="6375" t="s">
        <v>51</v>
      </c>
      <c r="AY5" s="6375" t="s">
        <v>1872</v>
      </c>
      <c r="AZ5" s="6375" t="s">
        <v>53</v>
      </c>
      <c r="BA5" s="6377" t="s">
        <v>1867</v>
      </c>
      <c r="BB5" s="6378"/>
      <c r="BC5" s="6379"/>
      <c r="BD5" s="6375" t="s">
        <v>51</v>
      </c>
      <c r="BE5" s="6375" t="s">
        <v>1872</v>
      </c>
      <c r="BF5" s="6375" t="s">
        <v>53</v>
      </c>
      <c r="BG5" s="6377" t="s">
        <v>1867</v>
      </c>
      <c r="BH5" s="6378"/>
      <c r="BI5" s="6379"/>
      <c r="BJ5" s="6375" t="s">
        <v>51</v>
      </c>
      <c r="BK5" s="6375" t="s">
        <v>1872</v>
      </c>
      <c r="BL5" s="6375" t="s">
        <v>53</v>
      </c>
      <c r="BM5" s="6377" t="s">
        <v>1867</v>
      </c>
      <c r="BN5" s="6378"/>
      <c r="BO5" s="6379"/>
    </row>
    <row r="6" spans="1:67" s="3074" customFormat="1" ht="79.5" customHeight="1">
      <c r="A6" s="6331"/>
      <c r="B6" s="6389"/>
      <c r="C6" s="6397"/>
      <c r="D6" s="6390"/>
      <c r="E6" s="3038" t="s">
        <v>54</v>
      </c>
      <c r="F6" s="3038" t="s">
        <v>55</v>
      </c>
      <c r="G6" s="3038" t="s">
        <v>56</v>
      </c>
      <c r="H6" s="6389"/>
      <c r="I6" s="6389"/>
      <c r="J6" s="6389"/>
      <c r="K6" s="3038" t="s">
        <v>54</v>
      </c>
      <c r="L6" s="3038" t="s">
        <v>55</v>
      </c>
      <c r="M6" s="3038" t="s">
        <v>56</v>
      </c>
      <c r="N6" s="6376"/>
      <c r="O6" s="6376"/>
      <c r="P6" s="6376"/>
      <c r="Q6" s="1538" t="s">
        <v>54</v>
      </c>
      <c r="R6" s="1538" t="s">
        <v>55</v>
      </c>
      <c r="S6" s="1538" t="s">
        <v>56</v>
      </c>
      <c r="T6" s="6376"/>
      <c r="U6" s="6376"/>
      <c r="V6" s="6376"/>
      <c r="W6" s="1538" t="s">
        <v>54</v>
      </c>
      <c r="X6" s="1538" t="s">
        <v>55</v>
      </c>
      <c r="Y6" s="1538" t="s">
        <v>56</v>
      </c>
      <c r="Z6" s="6384"/>
      <c r="AA6" s="6384"/>
      <c r="AB6" s="6384"/>
      <c r="AC6" s="3075" t="s">
        <v>54</v>
      </c>
      <c r="AD6" s="3075" t="s">
        <v>55</v>
      </c>
      <c r="AE6" s="3075" t="s">
        <v>56</v>
      </c>
      <c r="AF6" s="6389"/>
      <c r="AG6" s="6389"/>
      <c r="AH6" s="6389"/>
      <c r="AI6" s="3038" t="s">
        <v>54</v>
      </c>
      <c r="AJ6" s="3038" t="s">
        <v>55</v>
      </c>
      <c r="AK6" s="3038" t="s">
        <v>56</v>
      </c>
      <c r="AL6" s="6376"/>
      <c r="AM6" s="6376"/>
      <c r="AN6" s="6376"/>
      <c r="AO6" s="1538" t="s">
        <v>54</v>
      </c>
      <c r="AP6" s="1538" t="s">
        <v>55</v>
      </c>
      <c r="AQ6" s="1538" t="s">
        <v>56</v>
      </c>
      <c r="AR6" s="6376"/>
      <c r="AS6" s="6376"/>
      <c r="AT6" s="6376"/>
      <c r="AU6" s="1538" t="s">
        <v>54</v>
      </c>
      <c r="AV6" s="1538" t="s">
        <v>55</v>
      </c>
      <c r="AW6" s="1538" t="s">
        <v>56</v>
      </c>
      <c r="AX6" s="6376"/>
      <c r="AY6" s="6376"/>
      <c r="AZ6" s="6376"/>
      <c r="BA6" s="1538" t="s">
        <v>54</v>
      </c>
      <c r="BB6" s="1538" t="s">
        <v>55</v>
      </c>
      <c r="BC6" s="1538" t="s">
        <v>56</v>
      </c>
      <c r="BD6" s="6376"/>
      <c r="BE6" s="6376"/>
      <c r="BF6" s="6376"/>
      <c r="BG6" s="1538" t="s">
        <v>54</v>
      </c>
      <c r="BH6" s="1538" t="s">
        <v>55</v>
      </c>
      <c r="BI6" s="1538" t="s">
        <v>56</v>
      </c>
      <c r="BJ6" s="6376"/>
      <c r="BK6" s="6376"/>
      <c r="BL6" s="6376"/>
      <c r="BM6" s="1538" t="s">
        <v>54</v>
      </c>
      <c r="BN6" s="1538" t="s">
        <v>55</v>
      </c>
      <c r="BO6" s="1538" t="s">
        <v>56</v>
      </c>
    </row>
    <row r="7" spans="1:67" s="3079" customFormat="1">
      <c r="A7" s="3076">
        <v>1</v>
      </c>
      <c r="B7" s="3076">
        <v>2</v>
      </c>
      <c r="C7" s="3076">
        <v>3</v>
      </c>
      <c r="D7" s="3076"/>
      <c r="E7" s="3076"/>
      <c r="F7" s="3076"/>
      <c r="G7" s="3076"/>
      <c r="H7" s="3076" t="s">
        <v>1874</v>
      </c>
      <c r="I7" s="3076" t="s">
        <v>1875</v>
      </c>
      <c r="J7" s="3076">
        <v>6</v>
      </c>
      <c r="K7" s="3076" t="s">
        <v>1876</v>
      </c>
      <c r="L7" s="3076">
        <v>8</v>
      </c>
      <c r="M7" s="3076">
        <v>9</v>
      </c>
      <c r="N7" s="3077" t="s">
        <v>1877</v>
      </c>
      <c r="O7" s="3077" t="s">
        <v>1878</v>
      </c>
      <c r="P7" s="3077">
        <v>12</v>
      </c>
      <c r="Q7" s="3077" t="s">
        <v>1879</v>
      </c>
      <c r="R7" s="3077">
        <v>14</v>
      </c>
      <c r="S7" s="3077">
        <v>15</v>
      </c>
      <c r="T7" s="3077" t="s">
        <v>1877</v>
      </c>
      <c r="U7" s="3077" t="s">
        <v>1878</v>
      </c>
      <c r="V7" s="3077">
        <v>12</v>
      </c>
      <c r="W7" s="3077" t="s">
        <v>1879</v>
      </c>
      <c r="X7" s="3077">
        <v>14</v>
      </c>
      <c r="Y7" s="3077">
        <v>15</v>
      </c>
      <c r="Z7" s="3076">
        <v>16</v>
      </c>
      <c r="AA7" s="3076" t="s">
        <v>1880</v>
      </c>
      <c r="AB7" s="3076">
        <v>18</v>
      </c>
      <c r="AC7" s="3076" t="s">
        <v>1881</v>
      </c>
      <c r="AD7" s="3076">
        <v>20</v>
      </c>
      <c r="AE7" s="3076">
        <v>21</v>
      </c>
      <c r="AF7" s="3076">
        <v>22</v>
      </c>
      <c r="AG7" s="3076" t="s">
        <v>1882</v>
      </c>
      <c r="AH7" s="3076">
        <v>24</v>
      </c>
      <c r="AI7" s="3076" t="s">
        <v>1883</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1884</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1885</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1701</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1886</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1887</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1888</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1889</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1890</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373" t="s">
        <v>1891</v>
      </c>
      <c r="B1" s="6373"/>
      <c r="C1" s="6373"/>
      <c r="D1" s="6373"/>
      <c r="E1" s="6373"/>
      <c r="F1" s="6373"/>
      <c r="G1" s="6373"/>
      <c r="H1" s="6373"/>
      <c r="I1" s="6373"/>
      <c r="J1" s="6373"/>
      <c r="K1" s="6373"/>
      <c r="L1" s="6373"/>
      <c r="M1" s="6373"/>
      <c r="N1" s="6373"/>
      <c r="O1" s="6373"/>
      <c r="P1" s="6373"/>
      <c r="Q1" s="6373"/>
      <c r="R1" s="6373"/>
      <c r="S1" s="6373"/>
      <c r="T1" s="6373"/>
      <c r="U1" s="6373"/>
      <c r="V1" s="6373"/>
      <c r="W1" s="6373"/>
      <c r="X1" s="6373"/>
      <c r="Y1" s="6373"/>
      <c r="Z1" s="6373"/>
    </row>
    <row r="2" spans="1:55" s="3189" customFormat="1">
      <c r="A2" s="3188"/>
      <c r="B2" s="3188"/>
      <c r="C2" s="3188"/>
      <c r="D2" s="3188"/>
      <c r="E2" s="3188"/>
      <c r="F2" s="3188"/>
      <c r="G2" s="6401"/>
      <c r="H2" s="6401"/>
      <c r="I2" s="6401"/>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401"/>
      <c r="E3" s="6401"/>
      <c r="F3" s="3192"/>
      <c r="G3" s="3193"/>
      <c r="H3" s="3192"/>
      <c r="I3" s="3194"/>
      <c r="J3" s="3195"/>
      <c r="O3" s="3196" t="s">
        <v>1892</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02" t="s">
        <v>0</v>
      </c>
      <c r="B4" s="6388" t="s">
        <v>1893</v>
      </c>
      <c r="C4" s="6385" t="s">
        <v>1862</v>
      </c>
      <c r="D4" s="6386"/>
      <c r="E4" s="6387"/>
      <c r="F4" s="6404" t="s">
        <v>1894</v>
      </c>
      <c r="G4" s="6405"/>
      <c r="H4" s="6405"/>
      <c r="I4" s="6405"/>
      <c r="J4" s="6406"/>
      <c r="K4" s="6407" t="s">
        <v>1895</v>
      </c>
      <c r="L4" s="6408"/>
      <c r="M4" s="6408"/>
      <c r="N4" s="6408"/>
      <c r="O4" s="6409"/>
      <c r="P4" s="6407" t="s">
        <v>1865</v>
      </c>
      <c r="Q4" s="6408"/>
      <c r="R4" s="6408"/>
      <c r="S4" s="6408"/>
      <c r="T4" s="6409"/>
      <c r="U4" s="6407" t="s">
        <v>1896</v>
      </c>
      <c r="V4" s="6408"/>
      <c r="W4" s="6408"/>
      <c r="X4" s="6408"/>
      <c r="Y4" s="6409"/>
      <c r="Z4" s="6407" t="s">
        <v>1897</v>
      </c>
      <c r="AA4" s="6408"/>
      <c r="AB4" s="6408"/>
      <c r="AC4" s="6408"/>
      <c r="AD4" s="6409"/>
      <c r="AE4" s="6407" t="s">
        <v>1898</v>
      </c>
      <c r="AF4" s="6408"/>
      <c r="AG4" s="6408"/>
      <c r="AH4" s="6408"/>
      <c r="AI4" s="6409"/>
      <c r="AJ4" s="6398" t="s">
        <v>1899</v>
      </c>
      <c r="AK4" s="6399"/>
      <c r="AL4" s="6399"/>
      <c r="AM4" s="6399"/>
      <c r="AN4" s="6400"/>
      <c r="AO4" s="6398" t="s">
        <v>1900</v>
      </c>
      <c r="AP4" s="6399"/>
      <c r="AQ4" s="6399"/>
      <c r="AR4" s="6399"/>
      <c r="AS4" s="6400"/>
      <c r="AT4" s="6398" t="s">
        <v>1901</v>
      </c>
      <c r="AU4" s="6399"/>
      <c r="AV4" s="6399"/>
      <c r="AW4" s="6399"/>
      <c r="AX4" s="6400"/>
      <c r="AY4" s="6398" t="s">
        <v>1902</v>
      </c>
      <c r="AZ4" s="6399"/>
      <c r="BA4" s="6399"/>
      <c r="BB4" s="6399"/>
      <c r="BC4" s="6400"/>
    </row>
    <row r="5" spans="1:55" s="3199" customFormat="1" ht="63.6" customHeight="1">
      <c r="A5" s="6331"/>
      <c r="B5" s="6403"/>
      <c r="C5" s="3075" t="s">
        <v>1903</v>
      </c>
      <c r="D5" s="3200" t="s">
        <v>1904</v>
      </c>
      <c r="E5" s="3200" t="s">
        <v>1905</v>
      </c>
      <c r="F5" s="3038" t="s">
        <v>1903</v>
      </c>
      <c r="G5" s="3201" t="s">
        <v>69</v>
      </c>
      <c r="H5" s="3038" t="s">
        <v>1906</v>
      </c>
      <c r="I5" s="1383" t="s">
        <v>1904</v>
      </c>
      <c r="J5" s="1383" t="s">
        <v>1905</v>
      </c>
      <c r="K5" s="3038" t="s">
        <v>1903</v>
      </c>
      <c r="L5" s="3038" t="s">
        <v>69</v>
      </c>
      <c r="M5" s="3038" t="s">
        <v>1906</v>
      </c>
      <c r="N5" s="1383" t="s">
        <v>1904</v>
      </c>
      <c r="O5" s="1383" t="s">
        <v>1905</v>
      </c>
      <c r="P5" s="3038" t="s">
        <v>1903</v>
      </c>
      <c r="Q5" s="3038" t="s">
        <v>69</v>
      </c>
      <c r="R5" s="3038" t="s">
        <v>1907</v>
      </c>
      <c r="S5" s="1383" t="s">
        <v>1904</v>
      </c>
      <c r="T5" s="1383" t="s">
        <v>1905</v>
      </c>
      <c r="U5" s="3038" t="s">
        <v>1903</v>
      </c>
      <c r="V5" s="3038" t="s">
        <v>69</v>
      </c>
      <c r="W5" s="3038" t="s">
        <v>1907</v>
      </c>
      <c r="X5" s="1383" t="s">
        <v>1904</v>
      </c>
      <c r="Y5" s="1383" t="s">
        <v>1905</v>
      </c>
      <c r="Z5" s="3038" t="s">
        <v>1903</v>
      </c>
      <c r="AA5" s="3038" t="s">
        <v>69</v>
      </c>
      <c r="AB5" s="3038" t="s">
        <v>1908</v>
      </c>
      <c r="AC5" s="1383" t="s">
        <v>1904</v>
      </c>
      <c r="AD5" s="1383" t="s">
        <v>1905</v>
      </c>
      <c r="AE5" s="3038" t="s">
        <v>1903</v>
      </c>
      <c r="AF5" s="3038" t="s">
        <v>69</v>
      </c>
      <c r="AG5" s="3038" t="s">
        <v>1908</v>
      </c>
      <c r="AH5" s="1383" t="s">
        <v>1904</v>
      </c>
      <c r="AI5" s="1383" t="s">
        <v>1905</v>
      </c>
      <c r="AJ5" s="3075" t="s">
        <v>1903</v>
      </c>
      <c r="AK5" s="3075" t="s">
        <v>69</v>
      </c>
      <c r="AL5" s="3075" t="s">
        <v>1908</v>
      </c>
      <c r="AM5" s="3200" t="s">
        <v>1904</v>
      </c>
      <c r="AN5" s="3200" t="s">
        <v>1905</v>
      </c>
      <c r="AO5" s="3075" t="s">
        <v>1903</v>
      </c>
      <c r="AP5" s="3075" t="s">
        <v>69</v>
      </c>
      <c r="AQ5" s="3075" t="s">
        <v>1908</v>
      </c>
      <c r="AR5" s="3200" t="s">
        <v>1904</v>
      </c>
      <c r="AS5" s="3200" t="s">
        <v>1905</v>
      </c>
      <c r="AT5" s="3075" t="s">
        <v>1903</v>
      </c>
      <c r="AU5" s="3075" t="s">
        <v>69</v>
      </c>
      <c r="AV5" s="3075" t="s">
        <v>1908</v>
      </c>
      <c r="AW5" s="3200" t="s">
        <v>1904</v>
      </c>
      <c r="AX5" s="3200" t="s">
        <v>1905</v>
      </c>
      <c r="AY5" s="3075" t="s">
        <v>1903</v>
      </c>
      <c r="AZ5" s="3075" t="s">
        <v>69</v>
      </c>
      <c r="BA5" s="3075" t="s">
        <v>1908</v>
      </c>
      <c r="BB5" s="3200" t="s">
        <v>1904</v>
      </c>
      <c r="BC5" s="3200" t="s">
        <v>1905</v>
      </c>
    </row>
    <row r="6" spans="1:55" s="3053" customFormat="1" ht="19.5" customHeight="1">
      <c r="A6" s="3202">
        <v>1</v>
      </c>
      <c r="B6" s="3202">
        <v>2</v>
      </c>
      <c r="C6" s="3203" t="s">
        <v>1360</v>
      </c>
      <c r="D6" s="3204">
        <v>4</v>
      </c>
      <c r="E6" s="3203">
        <v>5</v>
      </c>
      <c r="F6" s="3205" t="s">
        <v>1909</v>
      </c>
      <c r="G6" s="3206">
        <v>7</v>
      </c>
      <c r="H6" s="3205" t="s">
        <v>1910</v>
      </c>
      <c r="I6" s="3202">
        <v>9</v>
      </c>
      <c r="J6" s="3205">
        <v>10</v>
      </c>
      <c r="K6" s="3205" t="s">
        <v>1911</v>
      </c>
      <c r="L6" s="3202">
        <v>12</v>
      </c>
      <c r="M6" s="3202" t="s">
        <v>1912</v>
      </c>
      <c r="N6" s="3202">
        <v>14</v>
      </c>
      <c r="O6" s="3205">
        <v>15</v>
      </c>
      <c r="P6" s="3205"/>
      <c r="Q6" s="3205"/>
      <c r="R6" s="3205"/>
      <c r="S6" s="3205"/>
      <c r="T6" s="3205"/>
      <c r="U6" s="3202" t="s">
        <v>1913</v>
      </c>
      <c r="V6" s="3205">
        <v>17</v>
      </c>
      <c r="W6" s="3202" t="s">
        <v>1914</v>
      </c>
      <c r="X6" s="3205">
        <v>19</v>
      </c>
      <c r="Y6" s="3202">
        <v>20</v>
      </c>
      <c r="Z6" s="3205" t="s">
        <v>1915</v>
      </c>
      <c r="AA6" s="3202">
        <v>22</v>
      </c>
      <c r="AB6" s="3205" t="s">
        <v>1916</v>
      </c>
      <c r="AC6" s="3207">
        <v>24</v>
      </c>
      <c r="AD6" s="3208">
        <v>25</v>
      </c>
      <c r="AE6" s="3208" t="s">
        <v>1915</v>
      </c>
      <c r="AF6" s="3207">
        <v>22</v>
      </c>
      <c r="AG6" s="3208" t="s">
        <v>1916</v>
      </c>
      <c r="AH6" s="3207">
        <v>24</v>
      </c>
      <c r="AI6" s="3208">
        <v>25</v>
      </c>
      <c r="AJ6" s="3204" t="s">
        <v>1915</v>
      </c>
      <c r="AK6" s="3203">
        <v>22</v>
      </c>
      <c r="AL6" s="3204" t="s">
        <v>1916</v>
      </c>
      <c r="AM6" s="3203">
        <v>24</v>
      </c>
      <c r="AN6" s="3204">
        <v>25</v>
      </c>
      <c r="AO6" s="3204" t="s">
        <v>1915</v>
      </c>
      <c r="AP6" s="3203">
        <v>22</v>
      </c>
      <c r="AQ6" s="3204" t="s">
        <v>1916</v>
      </c>
      <c r="AR6" s="3203">
        <v>24</v>
      </c>
      <c r="AS6" s="3204">
        <v>25</v>
      </c>
      <c r="AT6" s="3204" t="s">
        <v>1915</v>
      </c>
      <c r="AU6" s="3203">
        <v>22</v>
      </c>
      <c r="AV6" s="3204" t="s">
        <v>1916</v>
      </c>
      <c r="AW6" s="3203">
        <v>24</v>
      </c>
      <c r="AX6" s="3204">
        <v>25</v>
      </c>
      <c r="AY6" s="3204" t="s">
        <v>1915</v>
      </c>
      <c r="AZ6" s="3203">
        <v>22</v>
      </c>
      <c r="BA6" s="3204" t="s">
        <v>1916</v>
      </c>
      <c r="BB6" s="3203">
        <v>24</v>
      </c>
      <c r="BC6" s="3204">
        <v>25</v>
      </c>
    </row>
    <row r="7" spans="1:55" s="3091" customFormat="1">
      <c r="A7" s="3209"/>
      <c r="B7" s="135" t="s">
        <v>1917</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1680</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1918</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1919</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1729</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1681</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1682</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1684</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1685</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1686</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1687</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1688</v>
      </c>
      <c r="B23" s="37" t="s">
        <v>1689</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1730</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1690</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1691</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1920</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1716</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1921</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1922</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1923</v>
      </c>
      <c r="G39" s="3263"/>
      <c r="I39" s="3264">
        <f>'[11]Phụ lục số 5-KQPB'!D22</f>
        <v>247800</v>
      </c>
      <c r="J39" s="3053" t="s">
        <v>1924</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1925</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1926</v>
      </c>
    </row>
    <row r="94" spans="2:26">
      <c r="K94" s="2428">
        <v>3226904</v>
      </c>
      <c r="U94" s="2428">
        <v>2000</v>
      </c>
      <c r="V94" s="2428" t="s">
        <v>1927</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058" t="s">
        <v>1415</v>
      </c>
      <c r="B1" s="6058"/>
      <c r="C1" s="6058"/>
      <c r="D1" s="6058"/>
      <c r="E1" s="6058"/>
      <c r="F1" s="6058"/>
      <c r="G1" s="6058"/>
      <c r="H1" s="6058"/>
      <c r="I1" s="6058"/>
      <c r="J1" s="6058"/>
      <c r="K1" s="6058"/>
      <c r="L1" s="6058"/>
      <c r="M1" s="6058"/>
      <c r="N1" s="6058"/>
      <c r="O1" s="6058"/>
      <c r="P1" s="6058"/>
      <c r="Q1" s="6058"/>
    </row>
    <row r="2" spans="1:42" s="1" customFormat="1" ht="15.6">
      <c r="A2" s="6058" t="s">
        <v>1416</v>
      </c>
      <c r="B2" s="6058"/>
      <c r="C2" s="6058"/>
      <c r="D2" s="6058"/>
      <c r="E2" s="6058"/>
      <c r="F2" s="6058"/>
      <c r="G2" s="6058"/>
      <c r="H2" s="6058"/>
      <c r="I2" s="6058"/>
      <c r="J2" s="6058"/>
      <c r="K2" s="6058"/>
      <c r="L2" s="6058"/>
      <c r="M2" s="6058"/>
      <c r="N2" s="6058"/>
      <c r="O2" s="6058"/>
      <c r="P2" s="6058"/>
      <c r="Q2" s="6058"/>
    </row>
    <row r="3" spans="1:42" s="1" customFormat="1" ht="15.6">
      <c r="A3" s="6061" t="str">
        <f>'Phụ lục số I'!A3:V3</f>
        <v>(Kèm theo Báo cáo số          /BC-UBND ngày            tháng 8 năm 2024 của Ủy ban nhân dân tỉnh Đồng Tháp)</v>
      </c>
      <c r="B3" s="6061"/>
      <c r="C3" s="6061"/>
      <c r="D3" s="6061"/>
      <c r="E3" s="6061"/>
      <c r="F3" s="6061"/>
      <c r="G3" s="6061"/>
      <c r="H3" s="6061"/>
      <c r="I3" s="6061"/>
      <c r="J3" s="6061"/>
      <c r="K3" s="6061"/>
      <c r="L3" s="6061"/>
      <c r="M3" s="6061"/>
      <c r="N3" s="6061"/>
      <c r="O3" s="6061"/>
      <c r="P3" s="6061"/>
      <c r="Q3" s="6061"/>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070" t="s">
        <v>246</v>
      </c>
      <c r="P5" s="6071"/>
      <c r="Q5" s="6071"/>
      <c r="W5" s="32">
        <f>+W12-R12</f>
        <v>21151.866956012789</v>
      </c>
      <c r="AB5" s="32">
        <f>+AB12-W12</f>
        <v>140079.44579632278</v>
      </c>
      <c r="AH5" s="32">
        <f>+AG12-AB12</f>
        <v>142339.74820876517</v>
      </c>
      <c r="AM5" s="32">
        <f>+AL12-AG12</f>
        <v>132871.69831924653</v>
      </c>
    </row>
    <row r="6" spans="1:42" s="1735" customFormat="1" ht="15" customHeight="1">
      <c r="A6" s="6075" t="s">
        <v>136</v>
      </c>
      <c r="B6" s="6072" t="s">
        <v>137</v>
      </c>
      <c r="C6" s="6076" t="s">
        <v>140</v>
      </c>
      <c r="D6" s="6077"/>
      <c r="E6" s="6077"/>
      <c r="F6" s="6077"/>
      <c r="G6" s="6078"/>
      <c r="H6" s="6079" t="s">
        <v>120</v>
      </c>
      <c r="I6" s="6079"/>
      <c r="J6" s="6079"/>
      <c r="K6" s="6079"/>
      <c r="L6" s="6079"/>
      <c r="M6" s="6079" t="s">
        <v>121</v>
      </c>
      <c r="N6" s="6079"/>
      <c r="O6" s="6079"/>
      <c r="P6" s="6079"/>
      <c r="Q6" s="6079"/>
      <c r="R6" s="6079" t="s">
        <v>187</v>
      </c>
      <c r="S6" s="6079"/>
      <c r="T6" s="6079"/>
      <c r="U6" s="6079"/>
      <c r="V6" s="6079"/>
      <c r="W6" s="6079" t="s">
        <v>188</v>
      </c>
      <c r="X6" s="6079"/>
      <c r="Y6" s="6079"/>
      <c r="Z6" s="6079"/>
      <c r="AA6" s="6079"/>
      <c r="AB6" s="6079" t="s">
        <v>189</v>
      </c>
      <c r="AC6" s="6079"/>
      <c r="AD6" s="6079"/>
      <c r="AE6" s="6079"/>
      <c r="AF6" s="6079"/>
      <c r="AG6" s="6079" t="s">
        <v>190</v>
      </c>
      <c r="AH6" s="6079"/>
      <c r="AI6" s="6079"/>
      <c r="AJ6" s="6079"/>
      <c r="AK6" s="6079"/>
      <c r="AL6" s="6079" t="s">
        <v>193</v>
      </c>
      <c r="AM6" s="6079"/>
      <c r="AN6" s="6079"/>
      <c r="AO6" s="6079"/>
      <c r="AP6" s="6079"/>
    </row>
    <row r="7" spans="1:42" s="29" customFormat="1" ht="15" customHeight="1">
      <c r="A7" s="6075"/>
      <c r="B7" s="6073"/>
      <c r="C7" s="6072" t="s">
        <v>119</v>
      </c>
      <c r="D7" s="6072" t="s">
        <v>118</v>
      </c>
      <c r="E7" s="6072" t="s">
        <v>69</v>
      </c>
      <c r="F7" s="6076" t="s">
        <v>186</v>
      </c>
      <c r="G7" s="6078"/>
      <c r="H7" s="6079" t="s">
        <v>59</v>
      </c>
      <c r="I7" s="6079" t="s">
        <v>69</v>
      </c>
      <c r="J7" s="6079" t="s">
        <v>1417</v>
      </c>
      <c r="K7" s="6079" t="s">
        <v>186</v>
      </c>
      <c r="L7" s="6079"/>
      <c r="M7" s="6079"/>
      <c r="N7" s="6079" t="s">
        <v>69</v>
      </c>
      <c r="O7" s="6079" t="s">
        <v>194</v>
      </c>
      <c r="P7" s="6079" t="s">
        <v>186</v>
      </c>
      <c r="Q7" s="6079"/>
      <c r="R7" s="6079" t="s">
        <v>59</v>
      </c>
      <c r="S7" s="6079" t="s">
        <v>69</v>
      </c>
      <c r="T7" s="6079" t="s">
        <v>195</v>
      </c>
      <c r="U7" s="6079" t="s">
        <v>186</v>
      </c>
      <c r="V7" s="6079"/>
      <c r="W7" s="6079" t="s">
        <v>59</v>
      </c>
      <c r="X7" s="6079" t="s">
        <v>69</v>
      </c>
      <c r="Y7" s="6079" t="s">
        <v>196</v>
      </c>
      <c r="Z7" s="6079" t="s">
        <v>186</v>
      </c>
      <c r="AA7" s="6079"/>
      <c r="AB7" s="6079" t="s">
        <v>59</v>
      </c>
      <c r="AC7" s="6079" t="s">
        <v>69</v>
      </c>
      <c r="AD7" s="6079" t="s">
        <v>197</v>
      </c>
      <c r="AE7" s="6079" t="s">
        <v>186</v>
      </c>
      <c r="AF7" s="6079"/>
      <c r="AG7" s="6079" t="s">
        <v>59</v>
      </c>
      <c r="AH7" s="6079" t="s">
        <v>69</v>
      </c>
      <c r="AI7" s="6079" t="s">
        <v>198</v>
      </c>
      <c r="AJ7" s="6079" t="s">
        <v>186</v>
      </c>
      <c r="AK7" s="6079"/>
      <c r="AL7" s="6079" t="s">
        <v>59</v>
      </c>
      <c r="AM7" s="6079" t="s">
        <v>69</v>
      </c>
      <c r="AN7" s="6079" t="s">
        <v>199</v>
      </c>
      <c r="AO7" s="6079" t="s">
        <v>186</v>
      </c>
      <c r="AP7" s="6079"/>
    </row>
    <row r="8" spans="1:42" s="29" customFormat="1" ht="96" customHeight="1">
      <c r="A8" s="6075"/>
      <c r="B8" s="6074"/>
      <c r="C8" s="6074"/>
      <c r="D8" s="6074"/>
      <c r="E8" s="6074"/>
      <c r="F8" s="1736" t="s">
        <v>138</v>
      </c>
      <c r="G8" s="1736" t="s">
        <v>139</v>
      </c>
      <c r="H8" s="6079"/>
      <c r="I8" s="6079"/>
      <c r="J8" s="6079"/>
      <c r="K8" s="1736" t="s">
        <v>138</v>
      </c>
      <c r="L8" s="1736" t="s">
        <v>139</v>
      </c>
      <c r="M8" s="6079"/>
      <c r="N8" s="6079"/>
      <c r="O8" s="6079"/>
      <c r="P8" s="1736" t="s">
        <v>138</v>
      </c>
      <c r="Q8" s="1736" t="s">
        <v>139</v>
      </c>
      <c r="R8" s="6079"/>
      <c r="S8" s="6079"/>
      <c r="T8" s="6079"/>
      <c r="U8" s="1736" t="s">
        <v>138</v>
      </c>
      <c r="V8" s="1736" t="s">
        <v>139</v>
      </c>
      <c r="W8" s="6079"/>
      <c r="X8" s="6079"/>
      <c r="Y8" s="6079"/>
      <c r="Z8" s="1736" t="s">
        <v>138</v>
      </c>
      <c r="AA8" s="1736" t="s">
        <v>139</v>
      </c>
      <c r="AB8" s="6079"/>
      <c r="AC8" s="6079"/>
      <c r="AD8" s="6079"/>
      <c r="AE8" s="1736" t="s">
        <v>138</v>
      </c>
      <c r="AF8" s="1736" t="s">
        <v>139</v>
      </c>
      <c r="AG8" s="6079"/>
      <c r="AH8" s="6079"/>
      <c r="AI8" s="6079"/>
      <c r="AJ8" s="1736" t="s">
        <v>138</v>
      </c>
      <c r="AK8" s="1736" t="s">
        <v>139</v>
      </c>
      <c r="AL8" s="6079"/>
      <c r="AM8" s="6079"/>
      <c r="AN8" s="6079"/>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069" t="s">
        <v>1430</v>
      </c>
      <c r="I67" s="6069"/>
      <c r="J67" s="6069"/>
      <c r="K67" s="6069"/>
      <c r="L67" s="6069"/>
      <c r="M67" s="6069" t="s">
        <v>1431</v>
      </c>
      <c r="N67" s="6069"/>
      <c r="O67" s="6069"/>
      <c r="P67" s="6069"/>
      <c r="Q67" s="6069"/>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373" t="s">
        <v>1928</v>
      </c>
      <c r="B1" s="6373"/>
      <c r="C1" s="6373"/>
      <c r="D1" s="6373"/>
      <c r="E1" s="6373"/>
      <c r="F1" s="6373"/>
      <c r="G1" s="6373"/>
      <c r="H1" s="6373"/>
      <c r="I1" s="6373"/>
      <c r="J1" s="6373"/>
      <c r="K1" s="6373"/>
      <c r="L1" s="6373"/>
      <c r="M1" s="6373"/>
      <c r="N1" s="6373"/>
      <c r="O1" s="6373"/>
      <c r="P1" s="6373"/>
      <c r="Q1" s="6373"/>
      <c r="R1" s="6373"/>
      <c r="S1" s="6373"/>
      <c r="T1" s="6373"/>
      <c r="U1" s="6373"/>
      <c r="V1" s="6373"/>
      <c r="W1" s="6373"/>
      <c r="X1" s="6373"/>
      <c r="Y1" s="6373"/>
      <c r="Z1" s="6373"/>
      <c r="AA1" s="6373"/>
      <c r="AB1" s="6373"/>
      <c r="AC1" s="6373"/>
      <c r="AD1" s="6373"/>
      <c r="AE1" s="6373"/>
      <c r="AF1" s="6373"/>
      <c r="AG1" s="6373"/>
      <c r="AH1" s="6373"/>
      <c r="AI1" s="6373"/>
      <c r="AJ1" s="6373"/>
      <c r="AK1" s="6373"/>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08" t="s">
        <v>0</v>
      </c>
      <c r="B3" s="6422" t="s">
        <v>1861</v>
      </c>
      <c r="C3" s="6415" t="s">
        <v>1929</v>
      </c>
      <c r="D3" s="6415" t="s">
        <v>1930</v>
      </c>
      <c r="E3" s="6415" t="s">
        <v>1931</v>
      </c>
      <c r="F3" s="6415" t="s">
        <v>1932</v>
      </c>
      <c r="G3" s="6415" t="s">
        <v>1933</v>
      </c>
      <c r="H3" s="6415" t="s">
        <v>1934</v>
      </c>
      <c r="I3" s="6410" t="s">
        <v>1935</v>
      </c>
      <c r="J3" s="6415" t="s">
        <v>1936</v>
      </c>
      <c r="K3" s="6415" t="s">
        <v>1937</v>
      </c>
      <c r="L3" s="6415" t="s">
        <v>1938</v>
      </c>
      <c r="M3" s="6415" t="s">
        <v>1939</v>
      </c>
      <c r="N3" s="6415" t="s">
        <v>1940</v>
      </c>
      <c r="O3" s="6415" t="s">
        <v>1941</v>
      </c>
      <c r="P3" s="6410" t="s">
        <v>1942</v>
      </c>
      <c r="Q3" s="6415" t="s">
        <v>1943</v>
      </c>
      <c r="R3" s="6415" t="s">
        <v>69</v>
      </c>
      <c r="S3" s="6415" t="s">
        <v>1944</v>
      </c>
      <c r="T3" s="6415" t="s">
        <v>1945</v>
      </c>
      <c r="U3" s="6422" t="s">
        <v>57</v>
      </c>
      <c r="V3" s="6422"/>
      <c r="W3" s="6422" t="s">
        <v>58</v>
      </c>
      <c r="X3" s="6422"/>
      <c r="Y3" s="6422" t="s">
        <v>484</v>
      </c>
      <c r="Z3" s="6422"/>
      <c r="AA3" s="6410" t="s">
        <v>1946</v>
      </c>
      <c r="AB3" s="6415" t="s">
        <v>1947</v>
      </c>
      <c r="AC3" s="6415" t="s">
        <v>69</v>
      </c>
      <c r="AD3" s="6415" t="s">
        <v>1948</v>
      </c>
      <c r="AE3" s="6423" t="s">
        <v>1949</v>
      </c>
      <c r="AF3" s="6424"/>
      <c r="AG3" s="6427" t="s">
        <v>1950</v>
      </c>
      <c r="AH3" s="6427"/>
      <c r="AI3" s="6428" t="s">
        <v>1951</v>
      </c>
      <c r="AJ3" s="6428" t="s">
        <v>69</v>
      </c>
      <c r="AK3" s="6428" t="s">
        <v>1952</v>
      </c>
      <c r="AL3" s="6415" t="s">
        <v>1953</v>
      </c>
      <c r="AM3" s="6415" t="s">
        <v>69</v>
      </c>
      <c r="AN3" s="6415"/>
      <c r="AO3" s="6418" t="s">
        <v>1954</v>
      </c>
      <c r="AP3" s="6419"/>
      <c r="AQ3" s="6413" t="s">
        <v>1955</v>
      </c>
      <c r="AR3" s="6413" t="s">
        <v>1785</v>
      </c>
      <c r="AS3" s="6415" t="s">
        <v>1956</v>
      </c>
      <c r="AT3" s="6415" t="s">
        <v>69</v>
      </c>
      <c r="AU3" s="6415" t="s">
        <v>1957</v>
      </c>
      <c r="AV3" s="6410" t="s">
        <v>1958</v>
      </c>
      <c r="AW3" s="6410" t="s">
        <v>1959</v>
      </c>
      <c r="AX3" s="6410" t="s">
        <v>69</v>
      </c>
      <c r="AY3" s="6410" t="s">
        <v>1960</v>
      </c>
      <c r="AZ3" s="6413" t="s">
        <v>1961</v>
      </c>
      <c r="BA3" s="6410" t="s">
        <v>1962</v>
      </c>
      <c r="BB3" s="6410" t="s">
        <v>1963</v>
      </c>
      <c r="BC3" s="6410" t="s">
        <v>1964</v>
      </c>
      <c r="BD3" s="6410" t="s">
        <v>1965</v>
      </c>
      <c r="BE3" s="6410" t="s">
        <v>1966</v>
      </c>
      <c r="BF3" s="6410" t="s">
        <v>70</v>
      </c>
      <c r="BG3" s="6410" t="s">
        <v>69</v>
      </c>
      <c r="BH3" s="6411" t="s">
        <v>1967</v>
      </c>
      <c r="BI3" s="3288"/>
      <c r="BJ3" s="3288"/>
      <c r="BK3" s="3288"/>
    </row>
    <row r="4" spans="1:127" s="3074" customFormat="1" ht="15.6" customHeight="1">
      <c r="A4" s="6208"/>
      <c r="B4" s="6431"/>
      <c r="C4" s="6416"/>
      <c r="D4" s="6416"/>
      <c r="E4" s="6416"/>
      <c r="F4" s="6416"/>
      <c r="G4" s="6416"/>
      <c r="H4" s="6416"/>
      <c r="I4" s="6374"/>
      <c r="J4" s="6416"/>
      <c r="K4" s="6416"/>
      <c r="L4" s="6416"/>
      <c r="M4" s="6416"/>
      <c r="N4" s="6416"/>
      <c r="O4" s="6416"/>
      <c r="P4" s="6374"/>
      <c r="Q4" s="6416"/>
      <c r="R4" s="6416"/>
      <c r="S4" s="6416"/>
      <c r="T4" s="6416"/>
      <c r="U4" s="6372"/>
      <c r="V4" s="6372"/>
      <c r="W4" s="6372"/>
      <c r="X4" s="6372"/>
      <c r="Y4" s="6372"/>
      <c r="Z4" s="6372"/>
      <c r="AA4" s="6374"/>
      <c r="AB4" s="6416"/>
      <c r="AC4" s="6416"/>
      <c r="AD4" s="6416"/>
      <c r="AE4" s="6425"/>
      <c r="AF4" s="6426"/>
      <c r="AG4" s="6063"/>
      <c r="AH4" s="6063"/>
      <c r="AI4" s="6429"/>
      <c r="AJ4" s="6429"/>
      <c r="AK4" s="6429"/>
      <c r="AL4" s="6416"/>
      <c r="AM4" s="6416"/>
      <c r="AN4" s="6416"/>
      <c r="AO4" s="6420"/>
      <c r="AP4" s="6421"/>
      <c r="AQ4" s="6414"/>
      <c r="AR4" s="6414"/>
      <c r="AS4" s="6416"/>
      <c r="AT4" s="6416"/>
      <c r="AU4" s="6416"/>
      <c r="AV4" s="6374"/>
      <c r="AW4" s="6374"/>
      <c r="AX4" s="6374"/>
      <c r="AY4" s="6374"/>
      <c r="AZ4" s="6414"/>
      <c r="BA4" s="6374"/>
      <c r="BB4" s="6374"/>
      <c r="BC4" s="6374"/>
      <c r="BD4" s="6374"/>
      <c r="BE4" s="6374"/>
      <c r="BF4" s="6374"/>
      <c r="BG4" s="6374"/>
      <c r="BH4" s="6412"/>
      <c r="BI4" s="3288"/>
      <c r="BJ4" s="3288"/>
      <c r="BK4" s="3288"/>
    </row>
    <row r="5" spans="1:127" s="3074" customFormat="1" ht="97.95" customHeight="1">
      <c r="A5" s="6208"/>
      <c r="B5" s="6431"/>
      <c r="C5" s="6417"/>
      <c r="D5" s="6417"/>
      <c r="E5" s="6417"/>
      <c r="F5" s="6417"/>
      <c r="G5" s="6417"/>
      <c r="H5" s="6417"/>
      <c r="I5" s="6374"/>
      <c r="J5" s="6417"/>
      <c r="K5" s="6417"/>
      <c r="L5" s="6417"/>
      <c r="M5" s="6417"/>
      <c r="N5" s="6417"/>
      <c r="O5" s="6417"/>
      <c r="P5" s="6374"/>
      <c r="Q5" s="6417"/>
      <c r="R5" s="6417"/>
      <c r="S5" s="6417"/>
      <c r="T5" s="6417"/>
      <c r="U5" s="3038" t="s">
        <v>59</v>
      </c>
      <c r="V5" s="3038" t="s">
        <v>60</v>
      </c>
      <c r="W5" s="3038" t="s">
        <v>59</v>
      </c>
      <c r="X5" s="3038" t="s">
        <v>61</v>
      </c>
      <c r="Y5" s="3038" t="s">
        <v>59</v>
      </c>
      <c r="Z5" s="3038" t="s">
        <v>61</v>
      </c>
      <c r="AA5" s="6374"/>
      <c r="AB5" s="6417"/>
      <c r="AC5" s="6417"/>
      <c r="AD5" s="6417"/>
      <c r="AE5" s="1538" t="s">
        <v>59</v>
      </c>
      <c r="AF5" s="1538" t="s">
        <v>61</v>
      </c>
      <c r="AG5" s="1538" t="s">
        <v>59</v>
      </c>
      <c r="AH5" s="1538" t="s">
        <v>61</v>
      </c>
      <c r="AI5" s="6430"/>
      <c r="AJ5" s="6430"/>
      <c r="AK5" s="6430"/>
      <c r="AL5" s="6417"/>
      <c r="AM5" s="6417"/>
      <c r="AN5" s="6417"/>
      <c r="AO5" s="3291" t="s">
        <v>118</v>
      </c>
      <c r="AP5" s="3291" t="s">
        <v>1968</v>
      </c>
      <c r="AQ5" s="6414"/>
      <c r="AR5" s="6414"/>
      <c r="AS5" s="6417"/>
      <c r="AT5" s="6417"/>
      <c r="AU5" s="6417"/>
      <c r="AV5" s="6374"/>
      <c r="AW5" s="6374"/>
      <c r="AX5" s="6374"/>
      <c r="AY5" s="6374"/>
      <c r="AZ5" s="6414"/>
      <c r="BA5" s="6374"/>
      <c r="BB5" s="6374"/>
      <c r="BC5" s="6374"/>
      <c r="BD5" s="6374"/>
      <c r="BE5" s="6374"/>
      <c r="BF5" s="6374"/>
      <c r="BG5" s="6374"/>
      <c r="BH5" s="6412"/>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1969</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1970</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1971</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1972</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1973</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1974</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1975</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1976</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1888</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1889</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1890</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1922</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1977</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1978</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1979</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1980</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1981</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1982</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1983</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1984</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1985</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1986</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1987</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1988</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1989</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1990</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1991</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1992</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1993</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1994</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1993</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1995</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1994</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1969</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1993</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1995</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1994</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1996</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1993</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1995</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1979</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1993</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1995</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1997</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1998</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1999</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2000</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1975</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2001</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2002</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2003</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1998</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2001</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2002</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2004</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1998</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2001</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2002</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2005</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1993</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1995</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2006</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1993</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1995</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2007</v>
      </c>
      <c r="B107" s="3103" t="s">
        <v>1999</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1993</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1995</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2008</v>
      </c>
      <c r="B110" s="3103" t="s">
        <v>2000</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1993</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1995</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1973</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1993</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1995</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1975</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1993</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1995</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1993</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1995</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1993</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1995</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1976</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1993</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1995</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1972</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1993</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1995</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2009</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1993</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1995</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1797</v>
      </c>
      <c r="B135" s="3521" t="s">
        <v>2010</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1993</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1995</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1797</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1993</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1995</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1797</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1993</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1995</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1797</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1993</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1995</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1797</v>
      </c>
      <c r="B147" s="3521" t="s">
        <v>2011</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1993</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1995</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1797</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1993</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1995</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1797</v>
      </c>
      <c r="B153" s="3521" t="s">
        <v>2012</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1993</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1995</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1991</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1993</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2013</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1993</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1979</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1993</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2014</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1993</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2015</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2016</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2017</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1993</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2018</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1994</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1797</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1797</v>
      </c>
      <c r="B174" s="3132" t="s">
        <v>2019</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2020</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2021</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2022</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2023</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2024</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2025</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2026</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2027</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2028</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2029</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2030</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2031</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2032</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2033</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2034</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2035</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373" t="s">
        <v>2036</v>
      </c>
      <c r="B1" s="6373"/>
      <c r="C1" s="6373"/>
      <c r="D1" s="6373"/>
      <c r="E1" s="6373"/>
      <c r="F1" s="6373"/>
      <c r="G1" s="6373"/>
      <c r="H1" s="6373"/>
      <c r="I1" s="6373"/>
      <c r="J1" s="6373"/>
      <c r="K1" s="6373"/>
      <c r="L1" s="6373"/>
      <c r="M1" s="6373"/>
      <c r="N1" s="6373"/>
      <c r="O1" s="6373"/>
      <c r="P1" s="6373"/>
      <c r="Q1" s="6373"/>
      <c r="R1" s="6373"/>
      <c r="S1" s="6373"/>
      <c r="T1" s="6373"/>
      <c r="U1" s="6373"/>
      <c r="V1" s="6373"/>
      <c r="W1" s="6373"/>
      <c r="X1" s="6373"/>
      <c r="Y1" s="6373"/>
      <c r="Z1" s="6373"/>
      <c r="AA1" s="6373"/>
      <c r="AB1" s="6373"/>
      <c r="AC1" s="6373"/>
      <c r="AD1" s="6373"/>
      <c r="AE1" s="6373"/>
      <c r="AF1" s="6373"/>
      <c r="AG1" s="6373"/>
      <c r="AH1" s="6373"/>
      <c r="AI1" s="6373"/>
      <c r="AJ1" s="6373"/>
      <c r="AK1" s="6373"/>
      <c r="AL1" s="6373"/>
      <c r="AM1" s="6373"/>
      <c r="AN1" s="6373"/>
      <c r="AO1" s="6373"/>
      <c r="AP1" s="6373"/>
      <c r="AQ1" s="6373"/>
      <c r="AR1" s="6373"/>
      <c r="AS1" s="6373"/>
      <c r="AT1" s="6373"/>
      <c r="AU1" s="6373"/>
      <c r="AV1" s="6373"/>
      <c r="AW1" s="6373"/>
      <c r="AX1" s="6373"/>
    </row>
    <row r="2" spans="1:52">
      <c r="A2" s="6391" t="s">
        <v>2037</v>
      </c>
      <c r="B2" s="6391"/>
      <c r="C2" s="6391"/>
      <c r="D2" s="6391"/>
      <c r="E2" s="6391"/>
      <c r="F2" s="6391"/>
      <c r="G2" s="6391"/>
      <c r="H2" s="6391"/>
      <c r="I2" s="6391"/>
      <c r="J2" s="6391"/>
      <c r="K2" s="6391"/>
      <c r="L2" s="6391"/>
      <c r="M2" s="6391"/>
      <c r="N2" s="6391"/>
      <c r="O2" s="6391"/>
      <c r="P2" s="6391"/>
      <c r="Q2" s="6391"/>
      <c r="R2" s="6391"/>
      <c r="S2" s="6391"/>
      <c r="T2" s="6391"/>
      <c r="U2" s="6391"/>
      <c r="V2" s="6391"/>
      <c r="W2" s="6391"/>
      <c r="X2" s="6391"/>
      <c r="Y2" s="6391"/>
      <c r="Z2" s="6391"/>
      <c r="AA2" s="6391"/>
      <c r="AB2" s="6391"/>
      <c r="AC2" s="6391"/>
      <c r="AD2" s="6391"/>
      <c r="AE2" s="6391"/>
      <c r="AF2" s="6391"/>
      <c r="AG2" s="6391"/>
      <c r="AH2" s="6391"/>
      <c r="AI2" s="6391"/>
      <c r="AJ2" s="6391"/>
      <c r="AK2" s="6391"/>
      <c r="AL2" s="6391"/>
      <c r="AM2" s="6391"/>
      <c r="AN2" s="6391"/>
      <c r="AO2" s="6391"/>
      <c r="AP2" s="6391"/>
      <c r="AQ2" s="6391"/>
      <c r="AR2" s="6391"/>
      <c r="AS2" s="6391"/>
      <c r="AT2" s="6391"/>
      <c r="AU2" s="6391"/>
      <c r="AV2" s="6391"/>
      <c r="AW2" s="6391"/>
      <c r="AX2" s="6391"/>
    </row>
    <row r="3" spans="1:52" ht="16.2" thickBot="1">
      <c r="A3" s="1193"/>
      <c r="AH3" s="3072"/>
      <c r="AN3" s="3290" t="s">
        <v>638</v>
      </c>
    </row>
    <row r="4" spans="1:52" s="3586" customFormat="1">
      <c r="A4" s="6338" t="s">
        <v>0</v>
      </c>
      <c r="B4" s="6436" t="s">
        <v>1893</v>
      </c>
      <c r="C4" s="6436" t="s">
        <v>1934</v>
      </c>
      <c r="D4" s="6436" t="s">
        <v>1937</v>
      </c>
      <c r="E4" s="6436" t="s">
        <v>1938</v>
      </c>
      <c r="F4" s="6436" t="s">
        <v>1939</v>
      </c>
      <c r="G4" s="6436" t="s">
        <v>1940</v>
      </c>
      <c r="H4" s="6436" t="s">
        <v>1941</v>
      </c>
      <c r="I4" s="6436" t="s">
        <v>2038</v>
      </c>
      <c r="J4" s="6436" t="s">
        <v>2039</v>
      </c>
      <c r="K4" s="6436" t="s">
        <v>2040</v>
      </c>
      <c r="L4" s="6436" t="s">
        <v>1944</v>
      </c>
      <c r="M4" s="6436" t="s">
        <v>1945</v>
      </c>
      <c r="N4" s="6437" t="s">
        <v>2041</v>
      </c>
      <c r="O4" s="6438"/>
      <c r="P4" s="6437" t="s">
        <v>2042</v>
      </c>
      <c r="Q4" s="6438"/>
      <c r="R4" s="6423" t="s">
        <v>2043</v>
      </c>
      <c r="S4" s="6424"/>
      <c r="T4" s="6415" t="s">
        <v>2044</v>
      </c>
      <c r="U4" s="6415" t="s">
        <v>2045</v>
      </c>
      <c r="V4" s="6415" t="s">
        <v>2040</v>
      </c>
      <c r="W4" s="6415" t="s">
        <v>2046</v>
      </c>
      <c r="X4" s="6423" t="s">
        <v>2047</v>
      </c>
      <c r="Y4" s="6424"/>
      <c r="Z4" s="6423" t="s">
        <v>2048</v>
      </c>
      <c r="AA4" s="6424"/>
      <c r="AB4" s="6415" t="s">
        <v>2049</v>
      </c>
      <c r="AC4" s="6415" t="s">
        <v>69</v>
      </c>
      <c r="AD4" s="3585"/>
      <c r="AE4" s="3585"/>
      <c r="AF4" s="6437" t="s">
        <v>1864</v>
      </c>
      <c r="AG4" s="6438"/>
      <c r="AH4" s="6436" t="s">
        <v>50</v>
      </c>
      <c r="AI4" s="6436" t="s">
        <v>121</v>
      </c>
      <c r="AJ4" s="6436" t="s">
        <v>2050</v>
      </c>
      <c r="AK4" s="6436" t="s">
        <v>1959</v>
      </c>
      <c r="AL4" s="6436" t="s">
        <v>2051</v>
      </c>
      <c r="AM4" s="6436" t="s">
        <v>2052</v>
      </c>
      <c r="AN4" s="6436" t="s">
        <v>2053</v>
      </c>
      <c r="AO4" s="6427" t="s">
        <v>2054</v>
      </c>
      <c r="AP4" s="6410" t="s">
        <v>2055</v>
      </c>
      <c r="AQ4" s="6410" t="s">
        <v>2056</v>
      </c>
      <c r="AR4" s="6410" t="s">
        <v>2057</v>
      </c>
      <c r="AS4" s="6410" t="s">
        <v>2058</v>
      </c>
      <c r="AT4" s="6411" t="s">
        <v>2059</v>
      </c>
      <c r="AU4" s="6382" t="s">
        <v>2060</v>
      </c>
      <c r="AV4" s="6388" t="s">
        <v>2051</v>
      </c>
      <c r="AW4" s="6388" t="s">
        <v>2052</v>
      </c>
      <c r="AX4" s="6372" t="s">
        <v>2061</v>
      </c>
    </row>
    <row r="5" spans="1:52" s="3586" customFormat="1">
      <c r="A5" s="6439"/>
      <c r="B5" s="6432"/>
      <c r="C5" s="6432"/>
      <c r="D5" s="6432"/>
      <c r="E5" s="6432"/>
      <c r="F5" s="6432"/>
      <c r="G5" s="6432"/>
      <c r="H5" s="6432"/>
      <c r="I5" s="6432"/>
      <c r="J5" s="6432"/>
      <c r="K5" s="6432"/>
      <c r="L5" s="6432"/>
      <c r="M5" s="6432"/>
      <c r="N5" s="6396" t="s">
        <v>92</v>
      </c>
      <c r="O5" s="6433"/>
      <c r="P5" s="6396" t="s">
        <v>58</v>
      </c>
      <c r="Q5" s="6433"/>
      <c r="R5" s="6434" t="s">
        <v>82</v>
      </c>
      <c r="S5" s="6435"/>
      <c r="T5" s="6416"/>
      <c r="U5" s="6416"/>
      <c r="V5" s="6416"/>
      <c r="W5" s="6416"/>
      <c r="X5" s="6434" t="s">
        <v>85</v>
      </c>
      <c r="Y5" s="6435"/>
      <c r="Z5" s="6434" t="s">
        <v>86</v>
      </c>
      <c r="AA5" s="6435"/>
      <c r="AB5" s="6416"/>
      <c r="AC5" s="6416"/>
      <c r="AD5" s="3587"/>
      <c r="AE5" s="3587"/>
      <c r="AF5" s="6396" t="s">
        <v>324</v>
      </c>
      <c r="AG5" s="6433"/>
      <c r="AH5" s="6432"/>
      <c r="AI5" s="6432"/>
      <c r="AJ5" s="6432"/>
      <c r="AK5" s="6432"/>
      <c r="AL5" s="6432"/>
      <c r="AM5" s="6432"/>
      <c r="AN5" s="6432"/>
      <c r="AO5" s="6063"/>
      <c r="AP5" s="6374"/>
      <c r="AQ5" s="6374"/>
      <c r="AR5" s="6374"/>
      <c r="AS5" s="6374"/>
      <c r="AT5" s="6412"/>
      <c r="AU5" s="6382"/>
      <c r="AV5" s="6432"/>
      <c r="AW5" s="6432"/>
      <c r="AX5" s="6372"/>
    </row>
    <row r="6" spans="1:52" s="3586" customFormat="1" ht="46.8">
      <c r="A6" s="6339"/>
      <c r="B6" s="6390"/>
      <c r="C6" s="6390"/>
      <c r="D6" s="6390"/>
      <c r="E6" s="6390"/>
      <c r="F6" s="6390"/>
      <c r="G6" s="6390"/>
      <c r="H6" s="6390"/>
      <c r="I6" s="6390"/>
      <c r="J6" s="6390"/>
      <c r="K6" s="6390"/>
      <c r="L6" s="6390"/>
      <c r="M6" s="6390"/>
      <c r="N6" s="3038" t="s">
        <v>59</v>
      </c>
      <c r="O6" s="1538" t="s">
        <v>60</v>
      </c>
      <c r="P6" s="3038" t="s">
        <v>59</v>
      </c>
      <c r="Q6" s="1538" t="s">
        <v>60</v>
      </c>
      <c r="R6" s="1538" t="s">
        <v>59</v>
      </c>
      <c r="S6" s="1538" t="s">
        <v>60</v>
      </c>
      <c r="T6" s="6417"/>
      <c r="U6" s="6417"/>
      <c r="V6" s="6417"/>
      <c r="W6" s="6417"/>
      <c r="X6" s="1538" t="s">
        <v>59</v>
      </c>
      <c r="Y6" s="1538" t="s">
        <v>60</v>
      </c>
      <c r="Z6" s="1538" t="s">
        <v>59</v>
      </c>
      <c r="AA6" s="1538" t="s">
        <v>60</v>
      </c>
      <c r="AB6" s="6417"/>
      <c r="AC6" s="6417"/>
      <c r="AD6" s="3588"/>
      <c r="AE6" s="3588"/>
      <c r="AF6" s="1538" t="s">
        <v>59</v>
      </c>
      <c r="AG6" s="1538" t="s">
        <v>2062</v>
      </c>
      <c r="AH6" s="6390"/>
      <c r="AI6" s="6390"/>
      <c r="AJ6" s="6390"/>
      <c r="AK6" s="6390"/>
      <c r="AL6" s="6390"/>
      <c r="AM6" s="6390"/>
      <c r="AN6" s="6390"/>
      <c r="AO6" s="6063"/>
      <c r="AP6" s="6374"/>
      <c r="AQ6" s="6374"/>
      <c r="AR6" s="6374"/>
      <c r="AS6" s="6374"/>
      <c r="AT6" s="6412"/>
      <c r="AU6" s="6382"/>
      <c r="AV6" s="6390"/>
      <c r="AW6" s="6390"/>
      <c r="AX6" s="6372"/>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2063</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1993</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1680</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2064</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2065</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1918</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2066</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1681</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2067</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1729</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2068</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2069</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2070</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2071</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2072</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2073</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2074</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1716</v>
      </c>
      <c r="B35" s="2857" t="s">
        <v>2075</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1921</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2076</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2077</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2078</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2079</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2080</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2081</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1993</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2082</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1993</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2083</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1993</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2084</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2085</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2086</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2087</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2088</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ht="31.2">
      <c r="A59" s="3626">
        <v>8</v>
      </c>
      <c r="B59" s="2857" t="s">
        <v>2089</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2090</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2091</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1993</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2092</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2093</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1993</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1683</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1993</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2094</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1993</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1993</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1797</v>
      </c>
      <c r="B77" s="3673" t="s">
        <v>1729</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1993</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1797</v>
      </c>
      <c r="B80" s="3673" t="s">
        <v>2071</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1993</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1797</v>
      </c>
      <c r="B83" s="3673" t="s">
        <v>2067</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1993</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1797</v>
      </c>
      <c r="B86" s="3673" t="s">
        <v>2095</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1993</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1797</v>
      </c>
      <c r="B89" s="3673" t="s">
        <v>2096</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1993</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1797</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1993</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1797</v>
      </c>
      <c r="B95" s="3673" t="s">
        <v>2097</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1993</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1797</v>
      </c>
      <c r="B98" s="3673" t="s">
        <v>2098</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1993</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1797</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1993</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2099</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2100</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1993</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2101</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1680</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1993</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1993</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1993</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2102</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1993</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2103</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2064</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1993</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2065</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1993</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1918</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1993</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1981</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1982</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1983</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1984</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1985</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1986</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1987</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1988</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2104</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1921</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1993</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2105</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2076</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1993</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2105</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2106</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1993</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2105</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2107</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2108</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2109</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2110</v>
      </c>
      <c r="S159" s="2428" t="s">
        <v>2111</v>
      </c>
      <c r="T159" s="817" t="s">
        <v>2112</v>
      </c>
      <c r="V159" s="817" t="s">
        <v>2113</v>
      </c>
      <c r="AA159" s="2428" t="s">
        <v>2114</v>
      </c>
      <c r="AC159" s="3743">
        <f t="shared" si="116"/>
        <v>0</v>
      </c>
      <c r="AD159" s="3756"/>
      <c r="AE159" s="3756"/>
      <c r="AF159" s="2428" t="s">
        <v>2115</v>
      </c>
      <c r="AY159" s="3061">
        <f t="shared" si="119"/>
        <v>0</v>
      </c>
    </row>
    <row r="160" spans="1:51">
      <c r="Q160" s="6" t="s">
        <v>2116</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2117</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2118</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2119</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2120</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2121</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2122</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2123</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2124</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2125</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2126</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2127</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2128</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135" t="s">
        <v>2129</v>
      </c>
      <c r="B1" s="6135"/>
      <c r="C1" s="6135"/>
      <c r="D1" s="6135"/>
      <c r="E1" s="6135"/>
      <c r="F1" s="6135"/>
      <c r="G1" s="6135"/>
      <c r="H1" s="6135"/>
      <c r="I1" s="6135"/>
      <c r="J1" s="6135"/>
      <c r="K1" s="6135"/>
      <c r="L1" s="6135"/>
      <c r="M1" s="6135"/>
      <c r="N1" s="6135"/>
      <c r="O1" s="6135"/>
      <c r="P1" s="6135"/>
      <c r="Q1" s="6135"/>
      <c r="R1" s="6135"/>
      <c r="S1" s="6135"/>
      <c r="T1" s="6135"/>
      <c r="U1" s="6135"/>
      <c r="V1" s="6135"/>
      <c r="AJ1" s="1192" t="s">
        <v>2130</v>
      </c>
      <c r="AO1" s="1382"/>
      <c r="AW1" s="1382"/>
      <c r="BE1" s="1382"/>
      <c r="BM1" s="1382"/>
      <c r="BU1" s="1382"/>
      <c r="CC1" s="1382"/>
      <c r="CK1" s="1382"/>
      <c r="CS1" s="1382"/>
      <c r="DA1" s="1382"/>
    </row>
    <row r="2" spans="1:105">
      <c r="A2" s="1193"/>
      <c r="B2" s="1193"/>
      <c r="C2" s="1193"/>
      <c r="D2" s="1193"/>
      <c r="E2" s="1193"/>
      <c r="F2" s="1193"/>
      <c r="G2" s="1193"/>
      <c r="H2" s="1193"/>
      <c r="I2" s="1193"/>
      <c r="J2" s="6440"/>
      <c r="K2" s="6440"/>
      <c r="L2" s="6440"/>
      <c r="M2" s="1193"/>
    </row>
    <row r="3" spans="1:105" ht="16.2" thickBot="1">
      <c r="A3" s="1193"/>
      <c r="H3" s="3763"/>
      <c r="P3" s="2431"/>
      <c r="V3" s="1409" t="s">
        <v>638</v>
      </c>
    </row>
    <row r="4" spans="1:105" ht="77.7" customHeight="1">
      <c r="A4" s="3049" t="s">
        <v>200</v>
      </c>
      <c r="B4" s="3764" t="s">
        <v>1123</v>
      </c>
      <c r="C4" s="3764" t="s">
        <v>2131</v>
      </c>
      <c r="D4" s="3764" t="s">
        <v>2132</v>
      </c>
      <c r="E4" s="3765" t="s">
        <v>2133</v>
      </c>
      <c r="F4" s="3765" t="s">
        <v>2134</v>
      </c>
      <c r="G4" s="3765" t="s">
        <v>2135</v>
      </c>
      <c r="H4" s="3765" t="s">
        <v>2136</v>
      </c>
      <c r="I4" s="3765" t="s">
        <v>2137</v>
      </c>
      <c r="J4" s="3765" t="s">
        <v>2138</v>
      </c>
      <c r="K4" s="3766" t="s">
        <v>2049</v>
      </c>
      <c r="L4" s="3765" t="s">
        <v>1954</v>
      </c>
      <c r="M4" s="3765" t="s">
        <v>2139</v>
      </c>
      <c r="N4" s="3765" t="s">
        <v>1955</v>
      </c>
      <c r="O4" s="3765" t="s">
        <v>1785</v>
      </c>
      <c r="P4" s="3764" t="s">
        <v>2140</v>
      </c>
      <c r="Q4" s="3767" t="s">
        <v>2141</v>
      </c>
      <c r="R4" s="3768" t="s">
        <v>2142</v>
      </c>
      <c r="S4" s="3766" t="s">
        <v>2143</v>
      </c>
      <c r="T4" s="3766" t="s">
        <v>2144</v>
      </c>
      <c r="U4" s="3766" t="s">
        <v>2145</v>
      </c>
      <c r="V4" s="3769" t="s">
        <v>2146</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2147</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2148</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2149</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1920</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1922</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2150</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2151</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2021</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2022</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2152</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2026</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2153</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2154</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2029</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2030</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2031</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58" t="s">
        <v>852</v>
      </c>
      <c r="B2" s="6058"/>
      <c r="C2" s="6058"/>
      <c r="D2" s="6058"/>
      <c r="E2" s="6058"/>
      <c r="F2" s="6058"/>
      <c r="G2" s="6058"/>
      <c r="H2" s="6058"/>
      <c r="I2" s="6058"/>
      <c r="J2" s="6058"/>
      <c r="K2" s="6058"/>
      <c r="L2" s="6058"/>
      <c r="M2" s="6058"/>
      <c r="N2" s="6058"/>
      <c r="O2" s="6058"/>
      <c r="P2" s="6058"/>
      <c r="Q2" s="6058"/>
      <c r="R2" s="6058"/>
      <c r="S2" s="6058"/>
      <c r="T2" s="6058"/>
      <c r="U2" s="6058"/>
      <c r="V2" s="6058"/>
      <c r="W2" s="6058"/>
      <c r="X2" s="6058"/>
      <c r="Y2" s="6058"/>
      <c r="Z2" s="6058"/>
      <c r="AA2" s="6058"/>
      <c r="AB2" s="6058"/>
      <c r="AC2" s="6058"/>
      <c r="AD2" s="6058"/>
      <c r="AE2" s="6058"/>
      <c r="AF2" s="6058"/>
      <c r="AG2" s="6058"/>
      <c r="AH2" s="6058"/>
      <c r="AI2" s="6058"/>
      <c r="AJ2" s="6058"/>
      <c r="AK2" s="6058"/>
      <c r="AL2" s="6058"/>
      <c r="AM2" s="6058"/>
      <c r="AN2" s="6058"/>
      <c r="AO2" s="6058"/>
      <c r="AP2" s="6058"/>
      <c r="AQ2" s="6058"/>
      <c r="AR2" s="6058"/>
      <c r="AS2" s="6058"/>
      <c r="AT2" s="6058"/>
      <c r="AU2" s="6058"/>
      <c r="AV2" s="6058"/>
      <c r="AW2" s="6058"/>
      <c r="AX2" s="6058"/>
      <c r="AY2" s="6058"/>
      <c r="AZ2" s="6058"/>
      <c r="BA2" s="6058"/>
      <c r="BB2" s="6058"/>
      <c r="BC2" s="6058"/>
      <c r="BD2" s="6058"/>
      <c r="BE2" s="6058"/>
      <c r="BF2" s="6058"/>
      <c r="BG2" s="6058"/>
      <c r="BH2" s="6058"/>
    </row>
    <row r="3" spans="1:78">
      <c r="A3" s="6058" t="s">
        <v>853</v>
      </c>
      <c r="B3" s="6058"/>
      <c r="C3" s="6058"/>
      <c r="D3" s="6058"/>
      <c r="E3" s="6058"/>
      <c r="F3" s="6058"/>
      <c r="G3" s="6058"/>
      <c r="H3" s="6058"/>
      <c r="I3" s="6058"/>
      <c r="J3" s="6058"/>
      <c r="K3" s="6058"/>
      <c r="L3" s="6058"/>
      <c r="M3" s="6058"/>
      <c r="N3" s="6058"/>
      <c r="O3" s="6058"/>
      <c r="P3" s="6058"/>
      <c r="Q3" s="6058"/>
      <c r="R3" s="6058"/>
      <c r="S3" s="6058"/>
      <c r="T3" s="6058"/>
      <c r="U3" s="6058"/>
      <c r="V3" s="6058"/>
      <c r="W3" s="6058"/>
      <c r="X3" s="6058"/>
      <c r="Y3" s="6058"/>
      <c r="Z3" s="6058"/>
      <c r="AA3" s="6058"/>
      <c r="AB3" s="6058"/>
      <c r="AC3" s="6058"/>
      <c r="AD3" s="6058"/>
      <c r="AE3" s="6058"/>
      <c r="AF3" s="6058"/>
      <c r="AG3" s="6058"/>
      <c r="AH3" s="6058"/>
      <c r="AI3" s="6058"/>
      <c r="AJ3" s="6058"/>
      <c r="AK3" s="6058"/>
      <c r="AL3" s="6058"/>
      <c r="AM3" s="6058"/>
      <c r="AN3" s="6058"/>
      <c r="AO3" s="6058"/>
      <c r="AP3" s="6058"/>
      <c r="AQ3" s="6058"/>
      <c r="AR3" s="6058"/>
      <c r="AS3" s="6058"/>
      <c r="AT3" s="6058"/>
      <c r="AU3" s="6058"/>
      <c r="AV3" s="6058"/>
      <c r="AW3" s="6058"/>
      <c r="AX3" s="6058"/>
      <c r="AY3" s="6058"/>
      <c r="AZ3" s="6058"/>
      <c r="BA3" s="6058"/>
      <c r="BB3" s="6058"/>
      <c r="BC3" s="6058"/>
      <c r="BD3" s="6058"/>
      <c r="BE3" s="6058"/>
      <c r="BF3" s="6058"/>
      <c r="BG3" s="6058"/>
      <c r="BH3" s="6058"/>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08" t="s">
        <v>0</v>
      </c>
      <c r="B6" s="6454" t="s">
        <v>49</v>
      </c>
      <c r="C6" s="6382" t="s">
        <v>62</v>
      </c>
      <c r="D6" s="6372"/>
      <c r="E6" s="6372" t="s">
        <v>63</v>
      </c>
      <c r="F6" s="6372"/>
      <c r="G6" s="6372" t="s">
        <v>64</v>
      </c>
      <c r="H6" s="6372"/>
      <c r="I6" s="6372" t="s">
        <v>65</v>
      </c>
      <c r="J6" s="6372"/>
      <c r="K6" s="6372" t="s">
        <v>66</v>
      </c>
      <c r="L6" s="6372"/>
      <c r="M6" s="6372" t="s">
        <v>67</v>
      </c>
      <c r="N6" s="6372"/>
      <c r="O6" s="6450" t="s">
        <v>68</v>
      </c>
      <c r="P6" s="6450"/>
      <c r="Q6" s="6450"/>
      <c r="R6" s="6450"/>
      <c r="S6" s="6380" t="s">
        <v>72</v>
      </c>
      <c r="T6" s="6382"/>
      <c r="U6" s="6380" t="s">
        <v>73</v>
      </c>
      <c r="V6" s="6382"/>
      <c r="W6" s="6380" t="s">
        <v>74</v>
      </c>
      <c r="X6" s="6382"/>
      <c r="Y6" s="6372" t="s">
        <v>75</v>
      </c>
      <c r="Z6" s="6372"/>
      <c r="AA6" s="6372" t="s">
        <v>76</v>
      </c>
      <c r="AB6" s="6372"/>
      <c r="AC6" s="6450" t="s">
        <v>68</v>
      </c>
      <c r="AD6" s="6450"/>
      <c r="AE6" s="6450"/>
      <c r="AF6" s="6451"/>
      <c r="AG6" s="6448" t="s">
        <v>77</v>
      </c>
      <c r="AH6" s="6422"/>
      <c r="AI6" s="6422" t="s">
        <v>81</v>
      </c>
      <c r="AJ6" s="6422"/>
      <c r="AK6" s="6422" t="s">
        <v>57</v>
      </c>
      <c r="AL6" s="6422"/>
      <c r="AM6" s="6422" t="s">
        <v>58</v>
      </c>
      <c r="AN6" s="6422"/>
      <c r="AO6" s="6422" t="s">
        <v>82</v>
      </c>
      <c r="AP6" s="6422"/>
      <c r="AQ6" s="6443" t="s">
        <v>68</v>
      </c>
      <c r="AR6" s="6443"/>
      <c r="AS6" s="6443"/>
      <c r="AT6" s="6444"/>
      <c r="AU6" s="6448" t="s">
        <v>85</v>
      </c>
      <c r="AV6" s="6422"/>
      <c r="AW6" s="6449" t="s">
        <v>86</v>
      </c>
      <c r="AX6" s="6442"/>
      <c r="AY6" s="6441" t="s">
        <v>87</v>
      </c>
      <c r="AZ6" s="6442"/>
      <c r="BA6" s="6422" t="s">
        <v>88</v>
      </c>
      <c r="BB6" s="6422"/>
      <c r="BC6" s="6422" t="s">
        <v>89</v>
      </c>
      <c r="BD6" s="6422"/>
      <c r="BE6" s="6443" t="s">
        <v>68</v>
      </c>
      <c r="BF6" s="6443"/>
      <c r="BG6" s="6443"/>
      <c r="BH6" s="6444"/>
      <c r="BI6" s="6447" t="s">
        <v>90</v>
      </c>
      <c r="BJ6" s="6442"/>
      <c r="BK6" s="6441" t="s">
        <v>91</v>
      </c>
      <c r="BL6" s="6442"/>
      <c r="BM6" s="6441" t="s">
        <v>92</v>
      </c>
      <c r="BN6" s="6442"/>
      <c r="BO6" s="6422" t="s">
        <v>93</v>
      </c>
      <c r="BP6" s="6422"/>
      <c r="BQ6" s="6422" t="s">
        <v>94</v>
      </c>
      <c r="BR6" s="6422"/>
      <c r="BS6" s="6443" t="s">
        <v>68</v>
      </c>
      <c r="BT6" s="6443"/>
      <c r="BU6" s="6443"/>
      <c r="BV6" s="6444"/>
    </row>
    <row r="7" spans="1:78" ht="18.75" customHeight="1">
      <c r="A7" s="6453"/>
      <c r="B7" s="6455"/>
      <c r="C7" s="6382" t="s">
        <v>59</v>
      </c>
      <c r="D7" s="6372" t="s">
        <v>60</v>
      </c>
      <c r="E7" s="6372" t="s">
        <v>59</v>
      </c>
      <c r="F7" s="6372" t="s">
        <v>61</v>
      </c>
      <c r="G7" s="6372" t="s">
        <v>59</v>
      </c>
      <c r="H7" s="6372" t="s">
        <v>61</v>
      </c>
      <c r="I7" s="6372" t="s">
        <v>59</v>
      </c>
      <c r="J7" s="6372" t="s">
        <v>61</v>
      </c>
      <c r="K7" s="6372" t="s">
        <v>59</v>
      </c>
      <c r="L7" s="6372" t="s">
        <v>61</v>
      </c>
      <c r="M7" s="6372" t="s">
        <v>59</v>
      </c>
      <c r="N7" s="6372" t="s">
        <v>61</v>
      </c>
      <c r="O7" s="6066" t="s">
        <v>71</v>
      </c>
      <c r="P7" s="6066" t="s">
        <v>78</v>
      </c>
      <c r="Q7" s="6066" t="s">
        <v>69</v>
      </c>
      <c r="R7" s="6066" t="s">
        <v>70</v>
      </c>
      <c r="S7" s="6372" t="s">
        <v>59</v>
      </c>
      <c r="T7" s="6372" t="s">
        <v>60</v>
      </c>
      <c r="U7" s="6372" t="s">
        <v>59</v>
      </c>
      <c r="V7" s="6372" t="s">
        <v>61</v>
      </c>
      <c r="W7" s="6372" t="s">
        <v>59</v>
      </c>
      <c r="X7" s="6372" t="s">
        <v>61</v>
      </c>
      <c r="Y7" s="6372" t="s">
        <v>59</v>
      </c>
      <c r="Z7" s="6372" t="s">
        <v>61</v>
      </c>
      <c r="AA7" s="6372" t="s">
        <v>59</v>
      </c>
      <c r="AB7" s="6372" t="s">
        <v>61</v>
      </c>
      <c r="AC7" s="6066" t="s">
        <v>79</v>
      </c>
      <c r="AD7" s="6066" t="s">
        <v>80</v>
      </c>
      <c r="AE7" s="6066" t="s">
        <v>69</v>
      </c>
      <c r="AF7" s="6452" t="s">
        <v>70</v>
      </c>
      <c r="AG7" s="6446" t="s">
        <v>59</v>
      </c>
      <c r="AH7" s="6372" t="s">
        <v>60</v>
      </c>
      <c r="AI7" s="6372" t="s">
        <v>59</v>
      </c>
      <c r="AJ7" s="6372" t="s">
        <v>61</v>
      </c>
      <c r="AK7" s="6372" t="s">
        <v>59</v>
      </c>
      <c r="AL7" s="6372" t="s">
        <v>61</v>
      </c>
      <c r="AM7" s="6372" t="s">
        <v>59</v>
      </c>
      <c r="AN7" s="6372" t="s">
        <v>61</v>
      </c>
      <c r="AO7" s="6372" t="s">
        <v>59</v>
      </c>
      <c r="AP7" s="6372" t="s">
        <v>61</v>
      </c>
      <c r="AQ7" s="6066" t="s">
        <v>83</v>
      </c>
      <c r="AR7" s="6066" t="s">
        <v>84</v>
      </c>
      <c r="AS7" s="6066" t="s">
        <v>69</v>
      </c>
      <c r="AT7" s="6445" t="s">
        <v>70</v>
      </c>
      <c r="AU7" s="6446" t="s">
        <v>59</v>
      </c>
      <c r="AV7" s="6372" t="s">
        <v>60</v>
      </c>
      <c r="AW7" s="6382" t="s">
        <v>59</v>
      </c>
      <c r="AX7" s="6372" t="s">
        <v>61</v>
      </c>
      <c r="AY7" s="6372" t="s">
        <v>59</v>
      </c>
      <c r="AZ7" s="6372" t="s">
        <v>61</v>
      </c>
      <c r="BA7" s="6372" t="s">
        <v>59</v>
      </c>
      <c r="BB7" s="6372" t="s">
        <v>61</v>
      </c>
      <c r="BC7" s="6372" t="s">
        <v>59</v>
      </c>
      <c r="BD7" s="6372" t="s">
        <v>61</v>
      </c>
      <c r="BE7" s="6066" t="s">
        <v>957</v>
      </c>
      <c r="BF7" s="6066" t="s">
        <v>958</v>
      </c>
      <c r="BG7" s="6066" t="s">
        <v>69</v>
      </c>
      <c r="BH7" s="6445" t="s">
        <v>70</v>
      </c>
      <c r="BI7" s="6446" t="s">
        <v>59</v>
      </c>
      <c r="BJ7" s="6372" t="s">
        <v>60</v>
      </c>
      <c r="BK7" s="6372" t="s">
        <v>59</v>
      </c>
      <c r="BL7" s="6372" t="s">
        <v>61</v>
      </c>
      <c r="BM7" s="6372" t="s">
        <v>59</v>
      </c>
      <c r="BN7" s="6372" t="s">
        <v>61</v>
      </c>
      <c r="BO7" s="6372" t="s">
        <v>59</v>
      </c>
      <c r="BP7" s="6372" t="s">
        <v>61</v>
      </c>
      <c r="BQ7" s="6372" t="s">
        <v>59</v>
      </c>
      <c r="BR7" s="6372" t="s">
        <v>61</v>
      </c>
      <c r="BS7" s="6066" t="s">
        <v>95</v>
      </c>
      <c r="BT7" s="6066" t="s">
        <v>96</v>
      </c>
      <c r="BU7" s="6066" t="s">
        <v>69</v>
      </c>
      <c r="BV7" s="6445" t="s">
        <v>70</v>
      </c>
    </row>
    <row r="8" spans="1:78" ht="73.5" customHeight="1">
      <c r="A8" s="6453"/>
      <c r="B8" s="6455"/>
      <c r="C8" s="6382"/>
      <c r="D8" s="6372"/>
      <c r="E8" s="6372"/>
      <c r="F8" s="6372"/>
      <c r="G8" s="6372"/>
      <c r="H8" s="6372"/>
      <c r="I8" s="6372"/>
      <c r="J8" s="6372"/>
      <c r="K8" s="6372"/>
      <c r="L8" s="6372"/>
      <c r="M8" s="6372"/>
      <c r="N8" s="6372"/>
      <c r="O8" s="6066"/>
      <c r="P8" s="6066"/>
      <c r="Q8" s="6066"/>
      <c r="R8" s="6066"/>
      <c r="S8" s="6372"/>
      <c r="T8" s="6372"/>
      <c r="U8" s="6372"/>
      <c r="V8" s="6372"/>
      <c r="W8" s="6372"/>
      <c r="X8" s="6372"/>
      <c r="Y8" s="6372"/>
      <c r="Z8" s="6372"/>
      <c r="AA8" s="6372"/>
      <c r="AB8" s="6372"/>
      <c r="AC8" s="6066"/>
      <c r="AD8" s="6066"/>
      <c r="AE8" s="6066"/>
      <c r="AF8" s="6452"/>
      <c r="AG8" s="6446"/>
      <c r="AH8" s="6372"/>
      <c r="AI8" s="6372"/>
      <c r="AJ8" s="6372"/>
      <c r="AK8" s="6372"/>
      <c r="AL8" s="6372"/>
      <c r="AM8" s="6372"/>
      <c r="AN8" s="6372"/>
      <c r="AO8" s="6372"/>
      <c r="AP8" s="6372"/>
      <c r="AQ8" s="6066"/>
      <c r="AR8" s="6066"/>
      <c r="AS8" s="6066"/>
      <c r="AT8" s="6445"/>
      <c r="AU8" s="6446"/>
      <c r="AV8" s="6372"/>
      <c r="AW8" s="6382"/>
      <c r="AX8" s="6372"/>
      <c r="AY8" s="6372"/>
      <c r="AZ8" s="6372"/>
      <c r="BA8" s="6372"/>
      <c r="BB8" s="6372"/>
      <c r="BC8" s="6372"/>
      <c r="BD8" s="6372"/>
      <c r="BE8" s="6066"/>
      <c r="BF8" s="6066"/>
      <c r="BG8" s="6066"/>
      <c r="BH8" s="6445"/>
      <c r="BI8" s="6446"/>
      <c r="BJ8" s="6372"/>
      <c r="BK8" s="6372"/>
      <c r="BL8" s="6372"/>
      <c r="BM8" s="6372"/>
      <c r="BN8" s="6372"/>
      <c r="BO8" s="6372"/>
      <c r="BP8" s="6372"/>
      <c r="BQ8" s="6372"/>
      <c r="BR8" s="6372"/>
      <c r="BS8" s="6066"/>
      <c r="BT8" s="6066"/>
      <c r="BU8" s="6066"/>
      <c r="BV8" s="6445"/>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78">
        <v>1600000</v>
      </c>
      <c r="BR88" s="8">
        <f>BR86+BP86+BN86+BL86+BJ86</f>
        <v>106812242.31258228</v>
      </c>
      <c r="BT88" s="8">
        <f>+'Biểu số 2'!BT10</f>
        <v>106863244.06749399</v>
      </c>
    </row>
    <row r="89" spans="2:74">
      <c r="B89" s="1" t="s">
        <v>3145</v>
      </c>
      <c r="AV89" s="6">
        <f>+AV50-AU50</f>
        <v>-216742</v>
      </c>
      <c r="AX89" s="6">
        <f>+AX50-AW50</f>
        <v>243741</v>
      </c>
      <c r="AZ89" s="6">
        <f>+AZ50-AY50</f>
        <v>417388</v>
      </c>
      <c r="BB89" s="6">
        <f>2050000-BA50</f>
        <v>100000</v>
      </c>
      <c r="BC89" s="6">
        <f>+BB89+AZ89+AX89+AV89</f>
        <v>544387</v>
      </c>
      <c r="BD89" s="4778">
        <v>2100000</v>
      </c>
      <c r="BT89" s="6">
        <f>+BT88-BT84</f>
        <v>-14530631.069947228</v>
      </c>
    </row>
    <row r="90" spans="2:74">
      <c r="B90" s="1" t="s">
        <v>23</v>
      </c>
      <c r="AV90" s="4811">
        <f>+AV42+AX42+AZ42</f>
        <v>3426390</v>
      </c>
      <c r="AW90" s="6">
        <f>+'Phụ lục số 1'!J42</f>
        <v>1770000</v>
      </c>
      <c r="AX90" s="6">
        <f>+AW90+AV90</f>
        <v>5196390</v>
      </c>
      <c r="AY90" s="4778">
        <v>1600000</v>
      </c>
      <c r="AZ90" s="6">
        <f>+AY90+AX90</f>
        <v>6796390</v>
      </c>
    </row>
    <row r="91" spans="2:74">
      <c r="B91" s="1" t="s">
        <v>3145</v>
      </c>
      <c r="AV91" s="4811">
        <f>+AV50+AX50+AZ50</f>
        <v>5044387</v>
      </c>
      <c r="AW91" s="6">
        <f>+'Phụ lục số 1'!J50</f>
        <v>2150000</v>
      </c>
      <c r="AX91" s="6">
        <f>+AW91+AV91</f>
        <v>7194387</v>
      </c>
      <c r="AY91" s="4778">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058" t="s">
        <v>850</v>
      </c>
      <c r="B2" s="6058"/>
      <c r="C2" s="6058"/>
      <c r="D2" s="6058"/>
      <c r="E2" s="6058"/>
      <c r="F2" s="6058"/>
      <c r="G2" s="6058"/>
      <c r="H2" s="6058"/>
      <c r="I2" s="6058"/>
      <c r="J2" s="6058"/>
      <c r="K2" s="6058"/>
      <c r="L2" s="6058"/>
      <c r="M2" s="6058"/>
      <c r="N2" s="6058"/>
      <c r="O2" s="6058"/>
      <c r="P2" s="6058"/>
      <c r="Q2" s="6058"/>
      <c r="R2" s="6058"/>
      <c r="S2" s="6058"/>
      <c r="T2" s="6058"/>
      <c r="U2" s="6058"/>
      <c r="V2" s="6058"/>
      <c r="W2" s="6058"/>
      <c r="X2" s="6058"/>
      <c r="Y2" s="6058"/>
      <c r="Z2" s="6058"/>
      <c r="AA2" s="6058"/>
      <c r="AB2" s="6058"/>
      <c r="AC2" s="6058"/>
      <c r="AD2" s="6058"/>
      <c r="AE2" s="6058"/>
      <c r="AF2" s="6058"/>
      <c r="AG2" s="6058"/>
      <c r="AH2" s="6058"/>
      <c r="AI2" s="6058"/>
      <c r="AJ2" s="6058"/>
      <c r="AK2" s="6058"/>
      <c r="AL2" s="6058"/>
      <c r="AM2" s="6058"/>
      <c r="AN2" s="6058"/>
      <c r="AO2" s="6058"/>
      <c r="AP2" s="6058"/>
      <c r="AQ2" s="6058"/>
      <c r="AR2" s="6058"/>
      <c r="AS2" s="6058"/>
      <c r="AT2" s="6058"/>
    </row>
    <row r="3" spans="1:75">
      <c r="A3" s="6058" t="s">
        <v>851</v>
      </c>
      <c r="B3" s="6058"/>
      <c r="C3" s="6058"/>
      <c r="D3" s="6058"/>
      <c r="E3" s="6058"/>
      <c r="F3" s="6058"/>
      <c r="G3" s="6058"/>
      <c r="H3" s="6058"/>
      <c r="I3" s="6058"/>
      <c r="J3" s="6058"/>
      <c r="K3" s="6058"/>
      <c r="L3" s="6058"/>
      <c r="M3" s="6058"/>
      <c r="N3" s="6058"/>
      <c r="O3" s="6058"/>
      <c r="P3" s="6058"/>
      <c r="Q3" s="6058"/>
      <c r="R3" s="6058"/>
      <c r="S3" s="6058"/>
      <c r="T3" s="6058"/>
      <c r="U3" s="6058"/>
      <c r="V3" s="6058"/>
      <c r="W3" s="6058"/>
      <c r="X3" s="6058"/>
      <c r="Y3" s="6058"/>
      <c r="Z3" s="6058"/>
      <c r="AA3" s="6058"/>
      <c r="AB3" s="6058"/>
      <c r="AC3" s="6058"/>
      <c r="AD3" s="6058"/>
      <c r="AE3" s="6058"/>
      <c r="AF3" s="6058"/>
      <c r="AG3" s="6058"/>
      <c r="AH3" s="6058"/>
      <c r="AI3" s="6058"/>
      <c r="AJ3" s="6058"/>
      <c r="AK3" s="6058"/>
      <c r="AL3" s="6058"/>
      <c r="AM3" s="6058"/>
      <c r="AN3" s="6058"/>
      <c r="AO3" s="6058"/>
      <c r="AP3" s="6058"/>
      <c r="AQ3" s="6058"/>
      <c r="AR3" s="6058"/>
      <c r="AS3" s="6058"/>
      <c r="AT3" s="6058"/>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07" t="s">
        <v>136</v>
      </c>
      <c r="B6" s="6456" t="s">
        <v>137</v>
      </c>
      <c r="C6" s="6382" t="s">
        <v>62</v>
      </c>
      <c r="D6" s="6372"/>
      <c r="E6" s="6372" t="s">
        <v>63</v>
      </c>
      <c r="F6" s="6372"/>
      <c r="G6" s="6372" t="s">
        <v>64</v>
      </c>
      <c r="H6" s="6372"/>
      <c r="I6" s="6372" t="s">
        <v>65</v>
      </c>
      <c r="J6" s="6372"/>
      <c r="K6" s="6372" t="s">
        <v>66</v>
      </c>
      <c r="L6" s="6372"/>
      <c r="M6" s="6372" t="s">
        <v>67</v>
      </c>
      <c r="N6" s="6372"/>
      <c r="O6" s="6450" t="s">
        <v>68</v>
      </c>
      <c r="P6" s="6450"/>
      <c r="Q6" s="6450"/>
      <c r="R6" s="6450"/>
      <c r="S6" s="6372" t="s">
        <v>72</v>
      </c>
      <c r="T6" s="6372"/>
      <c r="U6" s="6372" t="s">
        <v>73</v>
      </c>
      <c r="V6" s="6372"/>
      <c r="W6" s="6372" t="s">
        <v>74</v>
      </c>
      <c r="X6" s="6372"/>
      <c r="Y6" s="6372" t="s">
        <v>75</v>
      </c>
      <c r="Z6" s="6372"/>
      <c r="AA6" s="6372" t="s">
        <v>76</v>
      </c>
      <c r="AB6" s="6372"/>
      <c r="AC6" s="6450" t="s">
        <v>68</v>
      </c>
      <c r="AD6" s="6450"/>
      <c r="AE6" s="6450"/>
      <c r="AF6" s="6451"/>
      <c r="AG6" s="6457" t="s">
        <v>77</v>
      </c>
      <c r="AH6" s="6458"/>
      <c r="AI6" s="6459" t="s">
        <v>81</v>
      </c>
      <c r="AJ6" s="6458"/>
      <c r="AK6" s="6458" t="s">
        <v>57</v>
      </c>
      <c r="AL6" s="6458"/>
      <c r="AM6" s="6458" t="s">
        <v>58</v>
      </c>
      <c r="AN6" s="6458"/>
      <c r="AO6" s="6458" t="s">
        <v>82</v>
      </c>
      <c r="AP6" s="6458"/>
      <c r="AQ6" s="6443" t="s">
        <v>68</v>
      </c>
      <c r="AR6" s="6443"/>
      <c r="AS6" s="6443"/>
      <c r="AT6" s="6444"/>
      <c r="AU6" s="6448" t="s">
        <v>85</v>
      </c>
      <c r="AV6" s="6422"/>
      <c r="AW6" s="6449" t="s">
        <v>86</v>
      </c>
      <c r="AX6" s="6449"/>
      <c r="AY6" s="6422" t="s">
        <v>87</v>
      </c>
      <c r="AZ6" s="6422"/>
      <c r="BA6" s="6422" t="s">
        <v>88</v>
      </c>
      <c r="BB6" s="6422"/>
      <c r="BC6" s="6422" t="s">
        <v>89</v>
      </c>
      <c r="BD6" s="6422"/>
      <c r="BE6" s="6443" t="s">
        <v>68</v>
      </c>
      <c r="BF6" s="6443"/>
      <c r="BG6" s="6443"/>
      <c r="BH6" s="6444"/>
      <c r="BI6" s="6447" t="s">
        <v>90</v>
      </c>
      <c r="BJ6" s="6442"/>
      <c r="BK6" s="6441" t="s">
        <v>91</v>
      </c>
      <c r="BL6" s="6442"/>
      <c r="BM6" s="6441" t="s">
        <v>92</v>
      </c>
      <c r="BN6" s="6442"/>
      <c r="BO6" s="6422" t="s">
        <v>93</v>
      </c>
      <c r="BP6" s="6422"/>
      <c r="BQ6" s="6422" t="s">
        <v>94</v>
      </c>
      <c r="BR6" s="6422"/>
      <c r="BS6" s="6443" t="s">
        <v>68</v>
      </c>
      <c r="BT6" s="6443"/>
      <c r="BU6" s="6443"/>
      <c r="BV6" s="6444"/>
    </row>
    <row r="7" spans="1:75" s="204" customFormat="1" ht="36" customHeight="1">
      <c r="A7" s="6208"/>
      <c r="B7" s="6445"/>
      <c r="C7" s="6382" t="s">
        <v>59</v>
      </c>
      <c r="D7" s="6372" t="s">
        <v>60</v>
      </c>
      <c r="E7" s="6372" t="s">
        <v>59</v>
      </c>
      <c r="F7" s="6372" t="s">
        <v>61</v>
      </c>
      <c r="G7" s="6372" t="s">
        <v>59</v>
      </c>
      <c r="H7" s="6372" t="s">
        <v>61</v>
      </c>
      <c r="I7" s="6372" t="s">
        <v>59</v>
      </c>
      <c r="J7" s="6372" t="s">
        <v>61</v>
      </c>
      <c r="K7" s="6372" t="s">
        <v>59</v>
      </c>
      <c r="L7" s="6372" t="s">
        <v>61</v>
      </c>
      <c r="M7" s="6372" t="s">
        <v>59</v>
      </c>
      <c r="N7" s="6372" t="s">
        <v>61</v>
      </c>
      <c r="O7" s="6066" t="s">
        <v>71</v>
      </c>
      <c r="P7" s="6066" t="s">
        <v>78</v>
      </c>
      <c r="Q7" s="6066" t="s">
        <v>69</v>
      </c>
      <c r="R7" s="6066" t="s">
        <v>70</v>
      </c>
      <c r="S7" s="6372" t="s">
        <v>59</v>
      </c>
      <c r="T7" s="6372" t="s">
        <v>60</v>
      </c>
      <c r="U7" s="6372" t="s">
        <v>59</v>
      </c>
      <c r="V7" s="6372" t="s">
        <v>61</v>
      </c>
      <c r="W7" s="6372" t="s">
        <v>59</v>
      </c>
      <c r="X7" s="6372" t="s">
        <v>61</v>
      </c>
      <c r="Y7" s="6372" t="s">
        <v>59</v>
      </c>
      <c r="Z7" s="6372" t="s">
        <v>61</v>
      </c>
      <c r="AA7" s="6372" t="s">
        <v>59</v>
      </c>
      <c r="AB7" s="6372" t="s">
        <v>61</v>
      </c>
      <c r="AC7" s="6066" t="s">
        <v>79</v>
      </c>
      <c r="AD7" s="6066" t="s">
        <v>80</v>
      </c>
      <c r="AE7" s="6066" t="s">
        <v>69</v>
      </c>
      <c r="AF7" s="6452" t="s">
        <v>70</v>
      </c>
      <c r="AG7" s="6446" t="s">
        <v>59</v>
      </c>
      <c r="AH7" s="6372" t="s">
        <v>60</v>
      </c>
      <c r="AI7" s="6382" t="s">
        <v>59</v>
      </c>
      <c r="AJ7" s="6372" t="s">
        <v>61</v>
      </c>
      <c r="AK7" s="6372" t="s">
        <v>59</v>
      </c>
      <c r="AL7" s="6372" t="s">
        <v>61</v>
      </c>
      <c r="AM7" s="6372" t="s">
        <v>59</v>
      </c>
      <c r="AN7" s="6372" t="s">
        <v>61</v>
      </c>
      <c r="AO7" s="6372" t="s">
        <v>59</v>
      </c>
      <c r="AP7" s="6372" t="s">
        <v>61</v>
      </c>
      <c r="AQ7" s="6066" t="s">
        <v>83</v>
      </c>
      <c r="AR7" s="6066" t="s">
        <v>84</v>
      </c>
      <c r="AS7" s="6066" t="s">
        <v>69</v>
      </c>
      <c r="AT7" s="6445" t="s">
        <v>70</v>
      </c>
      <c r="AU7" s="6446" t="s">
        <v>59</v>
      </c>
      <c r="AV7" s="6372" t="s">
        <v>60</v>
      </c>
      <c r="AW7" s="6382" t="s">
        <v>59</v>
      </c>
      <c r="AX7" s="6380" t="s">
        <v>61</v>
      </c>
      <c r="AY7" s="6460" t="s">
        <v>59</v>
      </c>
      <c r="AZ7" s="6460" t="s">
        <v>61</v>
      </c>
      <c r="BA7" s="6372" t="s">
        <v>59</v>
      </c>
      <c r="BB7" s="6372" t="s">
        <v>61</v>
      </c>
      <c r="BC7" s="6372" t="s">
        <v>59</v>
      </c>
      <c r="BD7" s="6372" t="s">
        <v>61</v>
      </c>
      <c r="BE7" s="6066" t="s">
        <v>957</v>
      </c>
      <c r="BF7" s="6066" t="s">
        <v>958</v>
      </c>
      <c r="BG7" s="6066" t="s">
        <v>69</v>
      </c>
      <c r="BH7" s="6445" t="s">
        <v>70</v>
      </c>
      <c r="BI7" s="6446" t="s">
        <v>59</v>
      </c>
      <c r="BJ7" s="6372" t="s">
        <v>60</v>
      </c>
      <c r="BK7" s="6372" t="s">
        <v>59</v>
      </c>
      <c r="BL7" s="6372" t="s">
        <v>61</v>
      </c>
      <c r="BM7" s="6372" t="s">
        <v>59</v>
      </c>
      <c r="BN7" s="6372" t="s">
        <v>61</v>
      </c>
      <c r="BO7" s="6372" t="s">
        <v>59</v>
      </c>
      <c r="BP7" s="6372" t="s">
        <v>61</v>
      </c>
      <c r="BQ7" s="6372" t="s">
        <v>59</v>
      </c>
      <c r="BR7" s="6372" t="s">
        <v>61</v>
      </c>
      <c r="BS7" s="6066" t="s">
        <v>95</v>
      </c>
      <c r="BT7" s="6066" t="s">
        <v>96</v>
      </c>
      <c r="BU7" s="6066" t="s">
        <v>69</v>
      </c>
      <c r="BV7" s="6445" t="s">
        <v>70</v>
      </c>
    </row>
    <row r="8" spans="1:75" s="204" customFormat="1" ht="46.5" customHeight="1">
      <c r="A8" s="6208"/>
      <c r="B8" s="6445"/>
      <c r="C8" s="6382"/>
      <c r="D8" s="6372"/>
      <c r="E8" s="6372"/>
      <c r="F8" s="6372"/>
      <c r="G8" s="6372"/>
      <c r="H8" s="6372"/>
      <c r="I8" s="6372"/>
      <c r="J8" s="6372"/>
      <c r="K8" s="6372"/>
      <c r="L8" s="6372"/>
      <c r="M8" s="6372"/>
      <c r="N8" s="6372"/>
      <c r="O8" s="6066"/>
      <c r="P8" s="6066"/>
      <c r="Q8" s="6066"/>
      <c r="R8" s="6066"/>
      <c r="S8" s="6372"/>
      <c r="T8" s="6372"/>
      <c r="U8" s="6372"/>
      <c r="V8" s="6372"/>
      <c r="W8" s="6372"/>
      <c r="X8" s="6372"/>
      <c r="Y8" s="6372"/>
      <c r="Z8" s="6372"/>
      <c r="AA8" s="6372"/>
      <c r="AB8" s="6372"/>
      <c r="AC8" s="6066"/>
      <c r="AD8" s="6066"/>
      <c r="AE8" s="6066"/>
      <c r="AF8" s="6452"/>
      <c r="AG8" s="6446"/>
      <c r="AH8" s="6372"/>
      <c r="AI8" s="6382"/>
      <c r="AJ8" s="6372"/>
      <c r="AK8" s="6372"/>
      <c r="AL8" s="6372"/>
      <c r="AM8" s="6372"/>
      <c r="AN8" s="6372"/>
      <c r="AO8" s="6372"/>
      <c r="AP8" s="6372"/>
      <c r="AQ8" s="6066"/>
      <c r="AR8" s="6066"/>
      <c r="AS8" s="6066"/>
      <c r="AT8" s="6445"/>
      <c r="AU8" s="6446"/>
      <c r="AV8" s="6372"/>
      <c r="AW8" s="6382"/>
      <c r="AX8" s="6380"/>
      <c r="AY8" s="6461"/>
      <c r="AZ8" s="6461"/>
      <c r="BA8" s="6372"/>
      <c r="BB8" s="6372"/>
      <c r="BC8" s="6372"/>
      <c r="BD8" s="6372"/>
      <c r="BE8" s="6066"/>
      <c r="BF8" s="6066"/>
      <c r="BG8" s="6066"/>
      <c r="BH8" s="6445"/>
      <c r="BI8" s="6446"/>
      <c r="BJ8" s="6372"/>
      <c r="BK8" s="6372"/>
      <c r="BL8" s="6372"/>
      <c r="BM8" s="6372"/>
      <c r="BN8" s="6372"/>
      <c r="BO8" s="6372"/>
      <c r="BP8" s="6372"/>
      <c r="BQ8" s="6372"/>
      <c r="BR8" s="6372"/>
      <c r="BS8" s="6066"/>
      <c r="BT8" s="6066"/>
      <c r="BU8" s="6066"/>
      <c r="BV8" s="6445"/>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463" t="s">
        <v>845</v>
      </c>
      <c r="B2" s="6058"/>
      <c r="C2" s="6058"/>
      <c r="D2" s="6058"/>
      <c r="E2" s="6058"/>
      <c r="F2" s="6058"/>
      <c r="G2" s="6058"/>
      <c r="H2" s="6058"/>
      <c r="I2" s="6058"/>
      <c r="J2" s="6058"/>
      <c r="K2" s="6058"/>
      <c r="L2" s="6058"/>
      <c r="M2" s="6058"/>
      <c r="N2" s="6058"/>
      <c r="O2" s="6058"/>
      <c r="P2" s="6058"/>
      <c r="AE2" s="844"/>
    </row>
    <row r="3" spans="1:31">
      <c r="A3" s="6463" t="s">
        <v>846</v>
      </c>
      <c r="B3" s="6058"/>
      <c r="C3" s="6058"/>
      <c r="D3" s="6058"/>
      <c r="E3" s="6058"/>
      <c r="F3" s="6058"/>
      <c r="G3" s="6058"/>
      <c r="H3" s="6058"/>
      <c r="I3" s="6058"/>
      <c r="J3" s="6058"/>
      <c r="K3" s="6058"/>
      <c r="L3" s="6058"/>
      <c r="M3" s="6058"/>
      <c r="N3" s="6058"/>
      <c r="O3" s="6058"/>
      <c r="P3" s="6058"/>
      <c r="AE3" s="844"/>
    </row>
    <row r="4" spans="1:31">
      <c r="A4" s="845"/>
      <c r="AE4" s="844"/>
    </row>
    <row r="5" spans="1:31">
      <c r="A5" s="845"/>
      <c r="AE5" s="844"/>
    </row>
    <row r="6" spans="1:31" s="4" customFormat="1">
      <c r="A6" s="6462" t="s">
        <v>247</v>
      </c>
      <c r="B6" s="6450" t="s">
        <v>137</v>
      </c>
      <c r="C6" s="6066" t="s">
        <v>842</v>
      </c>
      <c r="D6" s="6066"/>
      <c r="E6" s="6450" t="s">
        <v>85</v>
      </c>
      <c r="F6" s="6450"/>
      <c r="G6" s="6450" t="s">
        <v>86</v>
      </c>
      <c r="H6" s="6450"/>
      <c r="I6" s="6450" t="s">
        <v>87</v>
      </c>
      <c r="J6" s="6450"/>
      <c r="K6" s="6450" t="s">
        <v>88</v>
      </c>
      <c r="L6" s="6450"/>
      <c r="M6" s="6450" t="s">
        <v>89</v>
      </c>
      <c r="N6" s="6450"/>
      <c r="O6" s="6066" t="s">
        <v>843</v>
      </c>
      <c r="P6" s="6066"/>
      <c r="Q6" s="6450" t="s">
        <v>90</v>
      </c>
      <c r="R6" s="6450"/>
      <c r="S6" s="6450" t="s">
        <v>91</v>
      </c>
      <c r="T6" s="6450"/>
      <c r="U6" s="6450" t="s">
        <v>92</v>
      </c>
      <c r="V6" s="6450"/>
      <c r="W6" s="6450" t="s">
        <v>93</v>
      </c>
      <c r="X6" s="6450"/>
      <c r="Y6" s="6450" t="s">
        <v>94</v>
      </c>
      <c r="Z6" s="6450"/>
      <c r="AA6" s="6066" t="s">
        <v>491</v>
      </c>
      <c r="AB6" s="6066"/>
      <c r="AC6" s="6066" t="s">
        <v>847</v>
      </c>
      <c r="AD6" s="6066" t="s">
        <v>848</v>
      </c>
      <c r="AE6" s="6066" t="s">
        <v>849</v>
      </c>
    </row>
    <row r="7" spans="1:31" s="738" customFormat="1" ht="92.25" customHeight="1">
      <c r="A7" s="6462"/>
      <c r="B7" s="6450"/>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066"/>
      <c r="AD7" s="6066"/>
      <c r="AE7" s="6066"/>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58" t="s">
        <v>852</v>
      </c>
      <c r="B2" s="6058"/>
      <c r="C2" s="6058"/>
      <c r="D2" s="6058"/>
      <c r="E2" s="6058"/>
      <c r="F2" s="6058"/>
      <c r="G2" s="6058"/>
      <c r="H2" s="6058"/>
      <c r="I2" s="6058"/>
      <c r="J2" s="6058"/>
      <c r="K2" s="6058"/>
      <c r="L2" s="6058"/>
      <c r="M2" s="6058"/>
      <c r="N2" s="6058"/>
      <c r="O2" s="6058"/>
      <c r="P2" s="6058"/>
      <c r="Q2" s="6058"/>
      <c r="R2" s="6058"/>
      <c r="S2" s="6058"/>
      <c r="T2" s="6058"/>
      <c r="U2" s="6058"/>
      <c r="V2" s="6058"/>
      <c r="W2" s="6058"/>
      <c r="X2" s="6058"/>
      <c r="Y2" s="6058"/>
      <c r="Z2" s="6058"/>
      <c r="AA2" s="6058"/>
      <c r="AB2" s="6058"/>
      <c r="AC2" s="6058"/>
      <c r="AD2" s="6058"/>
      <c r="AE2" s="6058"/>
      <c r="AF2" s="6058"/>
      <c r="AG2" s="6058"/>
      <c r="AH2" s="6058"/>
      <c r="AI2" s="6058"/>
      <c r="AJ2" s="6058"/>
      <c r="AK2" s="6058"/>
      <c r="AL2" s="6058"/>
      <c r="AM2" s="6058"/>
      <c r="AN2" s="6058"/>
      <c r="AO2" s="6058"/>
      <c r="AP2" s="6058"/>
      <c r="AQ2" s="6058"/>
      <c r="AR2" s="6058"/>
      <c r="AS2" s="6058"/>
      <c r="AT2" s="6058"/>
      <c r="AU2" s="6058"/>
      <c r="AV2" s="6058"/>
      <c r="AW2" s="6058"/>
      <c r="AX2" s="6058"/>
      <c r="AY2" s="6058"/>
      <c r="AZ2" s="6058"/>
      <c r="BA2" s="6058"/>
      <c r="BB2" s="6058"/>
      <c r="BC2" s="6058"/>
      <c r="BD2" s="6058"/>
      <c r="BE2" s="6058"/>
      <c r="BF2" s="6058"/>
      <c r="BG2" s="6058"/>
      <c r="BH2" s="6058"/>
    </row>
    <row r="3" spans="1:78">
      <c r="A3" s="6058" t="s">
        <v>853</v>
      </c>
      <c r="B3" s="6058"/>
      <c r="C3" s="6058"/>
      <c r="D3" s="6058"/>
      <c r="E3" s="6058"/>
      <c r="F3" s="6058"/>
      <c r="G3" s="6058"/>
      <c r="H3" s="6058"/>
      <c r="I3" s="6058"/>
      <c r="J3" s="6058"/>
      <c r="K3" s="6058"/>
      <c r="L3" s="6058"/>
      <c r="M3" s="6058"/>
      <c r="N3" s="6058"/>
      <c r="O3" s="6058"/>
      <c r="P3" s="6058"/>
      <c r="Q3" s="6058"/>
      <c r="R3" s="6058"/>
      <c r="S3" s="6058"/>
      <c r="T3" s="6058"/>
      <c r="U3" s="6058"/>
      <c r="V3" s="6058"/>
      <c r="W3" s="6058"/>
      <c r="X3" s="6058"/>
      <c r="Y3" s="6058"/>
      <c r="Z3" s="6058"/>
      <c r="AA3" s="6058"/>
      <c r="AB3" s="6058"/>
      <c r="AC3" s="6058"/>
      <c r="AD3" s="6058"/>
      <c r="AE3" s="6058"/>
      <c r="AF3" s="6058"/>
      <c r="AG3" s="6058"/>
      <c r="AH3" s="6058"/>
      <c r="AI3" s="6058"/>
      <c r="AJ3" s="6058"/>
      <c r="AK3" s="6058"/>
      <c r="AL3" s="6058"/>
      <c r="AM3" s="6058"/>
      <c r="AN3" s="6058"/>
      <c r="AO3" s="6058"/>
      <c r="AP3" s="6058"/>
      <c r="AQ3" s="6058"/>
      <c r="AR3" s="6058"/>
      <c r="AS3" s="6058"/>
      <c r="AT3" s="6058"/>
      <c r="AU3" s="6058"/>
      <c r="AV3" s="6058"/>
      <c r="AW3" s="6058"/>
      <c r="AX3" s="6058"/>
      <c r="AY3" s="6058"/>
      <c r="AZ3" s="6058"/>
      <c r="BA3" s="6058"/>
      <c r="BB3" s="6058"/>
      <c r="BC3" s="6058"/>
      <c r="BD3" s="6058"/>
      <c r="BE3" s="6058"/>
      <c r="BF3" s="6058"/>
      <c r="BG3" s="6058"/>
      <c r="BH3" s="6058"/>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464" t="s">
        <v>0</v>
      </c>
      <c r="B6" s="6454" t="s">
        <v>49</v>
      </c>
      <c r="C6" s="6382" t="s">
        <v>62</v>
      </c>
      <c r="D6" s="6372"/>
      <c r="E6" s="6372" t="s">
        <v>63</v>
      </c>
      <c r="F6" s="6372"/>
      <c r="G6" s="6372" t="s">
        <v>64</v>
      </c>
      <c r="H6" s="6372"/>
      <c r="I6" s="6372" t="s">
        <v>65</v>
      </c>
      <c r="J6" s="6372"/>
      <c r="K6" s="6372" t="s">
        <v>66</v>
      </c>
      <c r="L6" s="6372"/>
      <c r="M6" s="6372" t="s">
        <v>67</v>
      </c>
      <c r="N6" s="6372"/>
      <c r="O6" s="6450" t="s">
        <v>68</v>
      </c>
      <c r="P6" s="6450"/>
      <c r="Q6" s="6450"/>
      <c r="R6" s="6450"/>
      <c r="S6" s="6380" t="s">
        <v>72</v>
      </c>
      <c r="T6" s="6382"/>
      <c r="U6" s="6380" t="s">
        <v>73</v>
      </c>
      <c r="V6" s="6382"/>
      <c r="W6" s="6380" t="s">
        <v>74</v>
      </c>
      <c r="X6" s="6382"/>
      <c r="Y6" s="6372" t="s">
        <v>75</v>
      </c>
      <c r="Z6" s="6372"/>
      <c r="AA6" s="6372" t="s">
        <v>76</v>
      </c>
      <c r="AB6" s="6372"/>
      <c r="AC6" s="6450" t="s">
        <v>68</v>
      </c>
      <c r="AD6" s="6450"/>
      <c r="AE6" s="6450"/>
      <c r="AF6" s="6451"/>
      <c r="AG6" s="6448" t="s">
        <v>77</v>
      </c>
      <c r="AH6" s="6422"/>
      <c r="AI6" s="6422" t="s">
        <v>81</v>
      </c>
      <c r="AJ6" s="6422"/>
      <c r="AK6" s="6422" t="s">
        <v>57</v>
      </c>
      <c r="AL6" s="6422"/>
      <c r="AM6" s="6422" t="s">
        <v>58</v>
      </c>
      <c r="AN6" s="6422"/>
      <c r="AO6" s="6422" t="s">
        <v>82</v>
      </c>
      <c r="AP6" s="6422"/>
      <c r="AQ6" s="6443" t="s">
        <v>68</v>
      </c>
      <c r="AR6" s="6443"/>
      <c r="AS6" s="6443"/>
      <c r="AT6" s="6444"/>
      <c r="AU6" s="6448" t="s">
        <v>85</v>
      </c>
      <c r="AV6" s="6422"/>
      <c r="AW6" s="6449" t="s">
        <v>86</v>
      </c>
      <c r="AX6" s="6442"/>
      <c r="AY6" s="6441" t="s">
        <v>87</v>
      </c>
      <c r="AZ6" s="6442"/>
      <c r="BA6" s="6422" t="s">
        <v>88</v>
      </c>
      <c r="BB6" s="6422"/>
      <c r="BC6" s="6422" t="s">
        <v>89</v>
      </c>
      <c r="BD6" s="6422"/>
      <c r="BE6" s="6443" t="s">
        <v>68</v>
      </c>
      <c r="BF6" s="6443"/>
      <c r="BG6" s="6443"/>
      <c r="BH6" s="6444"/>
      <c r="BI6" s="6447" t="s">
        <v>90</v>
      </c>
      <c r="BJ6" s="6442"/>
      <c r="BK6" s="6441" t="s">
        <v>91</v>
      </c>
      <c r="BL6" s="6442"/>
      <c r="BM6" s="6441" t="s">
        <v>92</v>
      </c>
      <c r="BN6" s="6442"/>
      <c r="BO6" s="6422" t="s">
        <v>93</v>
      </c>
      <c r="BP6" s="6422"/>
      <c r="BQ6" s="6422" t="s">
        <v>94</v>
      </c>
      <c r="BR6" s="6422"/>
      <c r="BS6" s="6443" t="s">
        <v>68</v>
      </c>
      <c r="BT6" s="6443"/>
      <c r="BU6" s="6443"/>
      <c r="BV6" s="6444"/>
    </row>
    <row r="7" spans="1:78" ht="18.75" customHeight="1">
      <c r="A7" s="6465"/>
      <c r="B7" s="6455"/>
      <c r="C7" s="6382" t="s">
        <v>59</v>
      </c>
      <c r="D7" s="6372" t="s">
        <v>60</v>
      </c>
      <c r="E7" s="6372" t="s">
        <v>59</v>
      </c>
      <c r="F7" s="6372" t="s">
        <v>61</v>
      </c>
      <c r="G7" s="6372" t="s">
        <v>59</v>
      </c>
      <c r="H7" s="6372" t="s">
        <v>61</v>
      </c>
      <c r="I7" s="6372" t="s">
        <v>59</v>
      </c>
      <c r="J7" s="6372" t="s">
        <v>61</v>
      </c>
      <c r="K7" s="6372" t="s">
        <v>59</v>
      </c>
      <c r="L7" s="6372" t="s">
        <v>61</v>
      </c>
      <c r="M7" s="6372" t="s">
        <v>59</v>
      </c>
      <c r="N7" s="6372" t="s">
        <v>61</v>
      </c>
      <c r="O7" s="6066" t="s">
        <v>71</v>
      </c>
      <c r="P7" s="6066" t="s">
        <v>78</v>
      </c>
      <c r="Q7" s="6066" t="s">
        <v>69</v>
      </c>
      <c r="R7" s="6066" t="s">
        <v>70</v>
      </c>
      <c r="S7" s="6372" t="s">
        <v>59</v>
      </c>
      <c r="T7" s="6372" t="s">
        <v>60</v>
      </c>
      <c r="U7" s="6372" t="s">
        <v>59</v>
      </c>
      <c r="V7" s="6372" t="s">
        <v>61</v>
      </c>
      <c r="W7" s="6372" t="s">
        <v>59</v>
      </c>
      <c r="X7" s="6372" t="s">
        <v>61</v>
      </c>
      <c r="Y7" s="6372" t="s">
        <v>59</v>
      </c>
      <c r="Z7" s="6372" t="s">
        <v>61</v>
      </c>
      <c r="AA7" s="6372" t="s">
        <v>59</v>
      </c>
      <c r="AB7" s="6372" t="s">
        <v>61</v>
      </c>
      <c r="AC7" s="6066" t="s">
        <v>79</v>
      </c>
      <c r="AD7" s="6066" t="s">
        <v>80</v>
      </c>
      <c r="AE7" s="6066" t="s">
        <v>69</v>
      </c>
      <c r="AF7" s="6452" t="s">
        <v>70</v>
      </c>
      <c r="AG7" s="6446" t="s">
        <v>59</v>
      </c>
      <c r="AH7" s="6372" t="s">
        <v>60</v>
      </c>
      <c r="AI7" s="6372" t="s">
        <v>59</v>
      </c>
      <c r="AJ7" s="6372" t="s">
        <v>61</v>
      </c>
      <c r="AK7" s="6372" t="s">
        <v>59</v>
      </c>
      <c r="AL7" s="6372" t="s">
        <v>61</v>
      </c>
      <c r="AM7" s="6372" t="s">
        <v>59</v>
      </c>
      <c r="AN7" s="6372" t="s">
        <v>61</v>
      </c>
      <c r="AO7" s="6372" t="s">
        <v>59</v>
      </c>
      <c r="AP7" s="6372" t="s">
        <v>61</v>
      </c>
      <c r="AQ7" s="6066" t="s">
        <v>83</v>
      </c>
      <c r="AR7" s="6066" t="s">
        <v>84</v>
      </c>
      <c r="AS7" s="6066" t="s">
        <v>69</v>
      </c>
      <c r="AT7" s="6445" t="s">
        <v>70</v>
      </c>
      <c r="AU7" s="6446" t="s">
        <v>59</v>
      </c>
      <c r="AV7" s="6372" t="s">
        <v>60</v>
      </c>
      <c r="AW7" s="6382" t="s">
        <v>59</v>
      </c>
      <c r="AX7" s="6372" t="s">
        <v>61</v>
      </c>
      <c r="AY7" s="6372" t="s">
        <v>59</v>
      </c>
      <c r="AZ7" s="6372" t="s">
        <v>61</v>
      </c>
      <c r="BA7" s="6372" t="s">
        <v>59</v>
      </c>
      <c r="BB7" s="6372" t="s">
        <v>61</v>
      </c>
      <c r="BC7" s="6372" t="s">
        <v>59</v>
      </c>
      <c r="BD7" s="6372" t="s">
        <v>61</v>
      </c>
      <c r="BE7" s="6066" t="s">
        <v>957</v>
      </c>
      <c r="BF7" s="6066" t="s">
        <v>958</v>
      </c>
      <c r="BG7" s="6066" t="s">
        <v>69</v>
      </c>
      <c r="BH7" s="6445" t="s">
        <v>70</v>
      </c>
      <c r="BI7" s="6446" t="s">
        <v>59</v>
      </c>
      <c r="BJ7" s="6372" t="s">
        <v>60</v>
      </c>
      <c r="BK7" s="6372" t="s">
        <v>59</v>
      </c>
      <c r="BL7" s="6372" t="s">
        <v>61</v>
      </c>
      <c r="BM7" s="6372" t="s">
        <v>59</v>
      </c>
      <c r="BN7" s="6372" t="s">
        <v>61</v>
      </c>
      <c r="BO7" s="6372" t="s">
        <v>59</v>
      </c>
      <c r="BP7" s="6372" t="s">
        <v>61</v>
      </c>
      <c r="BQ7" s="6372" t="s">
        <v>59</v>
      </c>
      <c r="BR7" s="6372" t="s">
        <v>61</v>
      </c>
      <c r="BS7" s="6066" t="s">
        <v>95</v>
      </c>
      <c r="BT7" s="6066" t="s">
        <v>96</v>
      </c>
      <c r="BU7" s="6066" t="s">
        <v>69</v>
      </c>
      <c r="BV7" s="6445" t="s">
        <v>70</v>
      </c>
    </row>
    <row r="8" spans="1:78" ht="73.5" customHeight="1">
      <c r="A8" s="6465"/>
      <c r="B8" s="6455"/>
      <c r="C8" s="6382"/>
      <c r="D8" s="6372"/>
      <c r="E8" s="6372"/>
      <c r="F8" s="6372"/>
      <c r="G8" s="6372"/>
      <c r="H8" s="6372"/>
      <c r="I8" s="6372"/>
      <c r="J8" s="6372"/>
      <c r="K8" s="6372"/>
      <c r="L8" s="6372"/>
      <c r="M8" s="6372"/>
      <c r="N8" s="6372"/>
      <c r="O8" s="6066"/>
      <c r="P8" s="6066"/>
      <c r="Q8" s="6066"/>
      <c r="R8" s="6066"/>
      <c r="S8" s="6372"/>
      <c r="T8" s="6372"/>
      <c r="U8" s="6372"/>
      <c r="V8" s="6372"/>
      <c r="W8" s="6372"/>
      <c r="X8" s="6372"/>
      <c r="Y8" s="6372"/>
      <c r="Z8" s="6372"/>
      <c r="AA8" s="6372"/>
      <c r="AB8" s="6372"/>
      <c r="AC8" s="6066"/>
      <c r="AD8" s="6066"/>
      <c r="AE8" s="6066"/>
      <c r="AF8" s="6452"/>
      <c r="AG8" s="6446"/>
      <c r="AH8" s="6372"/>
      <c r="AI8" s="6372"/>
      <c r="AJ8" s="6372"/>
      <c r="AK8" s="6372"/>
      <c r="AL8" s="6372"/>
      <c r="AM8" s="6372"/>
      <c r="AN8" s="6372"/>
      <c r="AO8" s="6372"/>
      <c r="AP8" s="6372"/>
      <c r="AQ8" s="6066"/>
      <c r="AR8" s="6066"/>
      <c r="AS8" s="6066"/>
      <c r="AT8" s="6445"/>
      <c r="AU8" s="6446"/>
      <c r="AV8" s="6372"/>
      <c r="AW8" s="6382"/>
      <c r="AX8" s="6372"/>
      <c r="AY8" s="6372"/>
      <c r="AZ8" s="6372"/>
      <c r="BA8" s="6372"/>
      <c r="BB8" s="6372"/>
      <c r="BC8" s="6372"/>
      <c r="BD8" s="6372"/>
      <c r="BE8" s="6066"/>
      <c r="BF8" s="6066"/>
      <c r="BG8" s="6066"/>
      <c r="BH8" s="6445"/>
      <c r="BI8" s="6446"/>
      <c r="BJ8" s="6372"/>
      <c r="BK8" s="6372"/>
      <c r="BL8" s="6372"/>
      <c r="BM8" s="6372"/>
      <c r="BN8" s="6372"/>
      <c r="BO8" s="6372"/>
      <c r="BP8" s="6372"/>
      <c r="BQ8" s="6372"/>
      <c r="BR8" s="6372"/>
      <c r="BS8" s="6066"/>
      <c r="BT8" s="6066"/>
      <c r="BU8" s="6066"/>
      <c r="BV8" s="6445"/>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18">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17">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17"/>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23">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21">
        <v>18</v>
      </c>
      <c r="BB104" s="5422">
        <v>1</v>
      </c>
    </row>
    <row r="105" spans="49:54">
      <c r="BA105" s="5421">
        <f>100-BA103</f>
        <v>17.599999999999994</v>
      </c>
      <c r="BB105" s="754">
        <f>+BB49/AZ49</f>
        <v>0.94517958412098302</v>
      </c>
    </row>
    <row r="106" spans="49:54">
      <c r="BB106" s="5423">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283" t="s">
        <v>2165</v>
      </c>
      <c r="B1" s="6283"/>
      <c r="C1" s="6283"/>
      <c r="D1" s="6283"/>
      <c r="E1" s="6283"/>
      <c r="F1" s="6283"/>
      <c r="G1" s="6283"/>
      <c r="H1" s="6283"/>
      <c r="I1" s="6283"/>
      <c r="J1" s="6283"/>
      <c r="K1" s="6283"/>
      <c r="L1" s="6283"/>
      <c r="M1" s="6283"/>
      <c r="N1" s="6283"/>
      <c r="O1" s="6283"/>
      <c r="P1" s="6283"/>
      <c r="Q1" s="6283"/>
      <c r="R1" s="6283"/>
      <c r="S1" s="6283"/>
      <c r="T1" s="6283"/>
    </row>
    <row r="2" spans="1:42" s="386" customFormat="1" ht="17.399999999999999">
      <c r="A2" s="641"/>
      <c r="B2" s="641"/>
      <c r="C2" s="641"/>
      <c r="D2" s="641"/>
      <c r="E2" s="641"/>
      <c r="F2" s="641"/>
      <c r="G2" s="641"/>
      <c r="H2" s="641"/>
      <c r="I2" s="641"/>
      <c r="J2" s="641"/>
      <c r="K2" s="641"/>
    </row>
    <row r="3" spans="1:42">
      <c r="AG3" s="667"/>
      <c r="AH3" s="667"/>
    </row>
    <row r="4" spans="1:42">
      <c r="A4" s="6402" t="s">
        <v>200</v>
      </c>
      <c r="B4" s="6467" t="s">
        <v>248</v>
      </c>
      <c r="C4" s="6466" t="s">
        <v>1008</v>
      </c>
      <c r="D4" s="6466"/>
      <c r="E4" s="6466"/>
      <c r="F4" s="6466" t="s">
        <v>85</v>
      </c>
      <c r="G4" s="6466"/>
      <c r="H4" s="6466"/>
      <c r="I4" s="6466" t="s">
        <v>86</v>
      </c>
      <c r="J4" s="6466"/>
      <c r="K4" s="6466"/>
      <c r="L4" s="6466" t="s">
        <v>87</v>
      </c>
      <c r="M4" s="6466"/>
      <c r="N4" s="6466"/>
      <c r="O4" s="6466" t="s">
        <v>88</v>
      </c>
      <c r="P4" s="6466"/>
      <c r="Q4" s="6466"/>
      <c r="R4" s="6466" t="s">
        <v>89</v>
      </c>
      <c r="S4" s="6466"/>
      <c r="T4" s="6466"/>
      <c r="W4" s="3855"/>
      <c r="X4" s="6046" t="s">
        <v>2166</v>
      </c>
      <c r="Y4" s="6466" t="s">
        <v>186</v>
      </c>
      <c r="Z4" s="6466"/>
      <c r="AA4" s="6466"/>
      <c r="AB4" s="6466"/>
      <c r="AC4" s="6466"/>
      <c r="AD4" s="6466"/>
      <c r="AE4" s="6466"/>
      <c r="AF4" s="6466"/>
      <c r="AG4" s="6466"/>
      <c r="AH4" s="6466"/>
      <c r="AI4" s="2239"/>
      <c r="AJ4" s="3855"/>
      <c r="AK4" s="3855"/>
    </row>
    <row r="5" spans="1:42" s="431" customFormat="1" ht="121.8">
      <c r="A5" s="6331"/>
      <c r="B5" s="6341"/>
      <c r="C5" s="430" t="s">
        <v>2167</v>
      </c>
      <c r="D5" s="430" t="s">
        <v>2168</v>
      </c>
      <c r="E5" s="430" t="s">
        <v>2169</v>
      </c>
      <c r="F5" s="430" t="s">
        <v>2167</v>
      </c>
      <c r="G5" s="430" t="s">
        <v>2168</v>
      </c>
      <c r="H5" s="430" t="s">
        <v>2169</v>
      </c>
      <c r="I5" s="430" t="s">
        <v>2167</v>
      </c>
      <c r="J5" s="430" t="s">
        <v>2168</v>
      </c>
      <c r="K5" s="430" t="s">
        <v>2169</v>
      </c>
      <c r="L5" s="430" t="s">
        <v>2167</v>
      </c>
      <c r="M5" s="430" t="s">
        <v>2168</v>
      </c>
      <c r="N5" s="430" t="s">
        <v>2169</v>
      </c>
      <c r="O5" s="430" t="s">
        <v>2167</v>
      </c>
      <c r="P5" s="430" t="s">
        <v>2168</v>
      </c>
      <c r="Q5" s="430" t="s">
        <v>2169</v>
      </c>
      <c r="R5" s="430" t="s">
        <v>2167</v>
      </c>
      <c r="S5" s="430" t="s">
        <v>2170</v>
      </c>
      <c r="T5" s="430" t="s">
        <v>2169</v>
      </c>
      <c r="W5" s="430"/>
      <c r="X5" s="6046"/>
      <c r="Y5" s="3856" t="s">
        <v>2171</v>
      </c>
      <c r="Z5" s="3856" t="s">
        <v>2172</v>
      </c>
      <c r="AA5" s="3856" t="s">
        <v>2173</v>
      </c>
      <c r="AB5" s="3856" t="s">
        <v>2174</v>
      </c>
      <c r="AC5" s="3856" t="s">
        <v>2175</v>
      </c>
      <c r="AD5" s="3856" t="s">
        <v>2176</v>
      </c>
      <c r="AE5" s="3856" t="s">
        <v>2177</v>
      </c>
      <c r="AF5" s="3856" t="s">
        <v>2178</v>
      </c>
      <c r="AG5" s="3856" t="s">
        <v>2179</v>
      </c>
      <c r="AH5" s="3856" t="s">
        <v>2180</v>
      </c>
      <c r="AI5" s="3856"/>
      <c r="AJ5" s="430" t="s">
        <v>2181</v>
      </c>
      <c r="AK5" s="430" t="s">
        <v>2182</v>
      </c>
    </row>
    <row r="6" spans="1:42" s="386" customFormat="1" ht="17.399999999999999">
      <c r="A6" s="2239" t="s">
        <v>1</v>
      </c>
      <c r="B6" s="2239" t="s">
        <v>37</v>
      </c>
      <c r="C6" s="3857">
        <v>1</v>
      </c>
      <c r="D6" s="3857">
        <v>2</v>
      </c>
      <c r="E6" s="3857" t="s">
        <v>2183</v>
      </c>
      <c r="F6" s="3857">
        <v>1</v>
      </c>
      <c r="G6" s="3857">
        <v>2</v>
      </c>
      <c r="H6" s="3857" t="s">
        <v>2183</v>
      </c>
      <c r="I6" s="3857">
        <v>1</v>
      </c>
      <c r="J6" s="3857">
        <v>2</v>
      </c>
      <c r="K6" s="3857" t="s">
        <v>2183</v>
      </c>
      <c r="L6" s="3857">
        <v>1</v>
      </c>
      <c r="M6" s="3857">
        <v>2</v>
      </c>
      <c r="N6" s="3857" t="s">
        <v>2183</v>
      </c>
      <c r="O6" s="3857">
        <v>1</v>
      </c>
      <c r="P6" s="3857">
        <v>2</v>
      </c>
      <c r="Q6" s="3857" t="s">
        <v>2183</v>
      </c>
      <c r="R6" s="3857">
        <v>1</v>
      </c>
      <c r="S6" s="3857">
        <v>2</v>
      </c>
      <c r="T6" s="3857" t="s">
        <v>2183</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2184</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2185</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2186</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2187</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2188</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2186</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2187</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2186</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2187</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2189</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2186</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2187</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2190</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2191</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2192</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2193</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2194</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2195</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2186</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2187</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2196</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2186</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1797</v>
      </c>
      <c r="B33" s="3894" t="s">
        <v>2197</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1797</v>
      </c>
      <c r="B34" s="3894" t="s">
        <v>2198</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2187</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075" t="s">
        <v>136</v>
      </c>
      <c r="B5" s="6066" t="s">
        <v>137</v>
      </c>
      <c r="C5" s="6068" t="s">
        <v>843</v>
      </c>
      <c r="D5" s="6068"/>
      <c r="E5" s="6068" t="s">
        <v>90</v>
      </c>
      <c r="F5" s="6068"/>
      <c r="G5" s="6068" t="s">
        <v>91</v>
      </c>
      <c r="H5" s="6068"/>
      <c r="I5" s="6068" t="s">
        <v>92</v>
      </c>
      <c r="J5" s="6068"/>
      <c r="K5" s="6068" t="s">
        <v>93</v>
      </c>
      <c r="L5" s="6068"/>
      <c r="M5" s="6068" t="s">
        <v>94</v>
      </c>
      <c r="N5" s="6068"/>
      <c r="O5" s="6068" t="s">
        <v>491</v>
      </c>
      <c r="P5" s="6068"/>
    </row>
    <row r="6" spans="1:16" s="856" customFormat="1">
      <c r="A6" s="6075"/>
      <c r="B6" s="6066"/>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16"/>
    <col min="2" max="2" width="41.109375" style="4616" customWidth="1"/>
    <col min="3" max="3" width="17.88671875" style="4616" bestFit="1" customWidth="1"/>
    <col min="4" max="4" width="15.5546875" style="4616" bestFit="1" customWidth="1"/>
    <col min="5" max="5" width="15.44140625" style="4616" customWidth="1"/>
    <col min="6" max="6" width="15" style="4616" customWidth="1"/>
    <col min="7" max="8" width="10.33203125" style="4616"/>
    <col min="9" max="9" width="12.6640625" style="4616" bestFit="1" customWidth="1"/>
    <col min="10" max="16384" width="10.33203125" style="4616"/>
  </cols>
  <sheetData>
    <row r="1" spans="1:6" s="4614" customFormat="1" ht="15.6">
      <c r="B1" s="6469" t="s">
        <v>2910</v>
      </c>
      <c r="C1" s="6469"/>
      <c r="D1" s="6469"/>
      <c r="E1" s="6469"/>
      <c r="F1" s="6469"/>
    </row>
    <row r="3" spans="1:6" s="4614" customFormat="1" ht="15.6">
      <c r="B3" s="4615" t="s">
        <v>2911</v>
      </c>
    </row>
    <row r="4" spans="1:6" ht="15.6">
      <c r="B4" s="4614" t="s">
        <v>2912</v>
      </c>
    </row>
    <row r="5" spans="1:6">
      <c r="E5" s="4617" t="s">
        <v>2913</v>
      </c>
    </row>
    <row r="6" spans="1:6" ht="62.4">
      <c r="A6" s="4618" t="s">
        <v>136</v>
      </c>
      <c r="B6" s="4619" t="s">
        <v>2914</v>
      </c>
      <c r="C6" s="4619" t="s">
        <v>2915</v>
      </c>
      <c r="D6" s="4619" t="s">
        <v>2916</v>
      </c>
      <c r="E6" s="4619" t="s">
        <v>2917</v>
      </c>
      <c r="F6" s="4619" t="s">
        <v>2918</v>
      </c>
    </row>
    <row r="7" spans="1:6">
      <c r="B7" s="4620" t="s">
        <v>2218</v>
      </c>
      <c r="C7" s="4621">
        <v>2148100</v>
      </c>
      <c r="D7" s="4621">
        <v>3007400</v>
      </c>
      <c r="E7" s="4621">
        <f>+D7-C7</f>
        <v>859300</v>
      </c>
      <c r="F7" s="4622">
        <f>D7/C7*100-100</f>
        <v>40.002793166053721</v>
      </c>
    </row>
    <row r="8" spans="1:6">
      <c r="B8" s="4620" t="s">
        <v>2219</v>
      </c>
      <c r="C8" s="4621">
        <v>2527200</v>
      </c>
      <c r="D8" s="4621">
        <v>3538100</v>
      </c>
      <c r="E8" s="4621">
        <f>+D8-C8</f>
        <v>1010900</v>
      </c>
      <c r="F8" s="4622">
        <f>D8/C8*100-100</f>
        <v>40.000791389680273</v>
      </c>
    </row>
    <row r="9" spans="1:6" ht="15.6">
      <c r="B9" s="4623" t="s">
        <v>2220</v>
      </c>
      <c r="C9" s="4621">
        <v>3538100</v>
      </c>
      <c r="D9" s="4621">
        <v>4953300</v>
      </c>
      <c r="E9" s="4621">
        <f>+D9-C9</f>
        <v>1415200</v>
      </c>
      <c r="F9" s="4622">
        <f>D9/C9*100-100</f>
        <v>39.998869449704642</v>
      </c>
    </row>
    <row r="10" spans="1:6" ht="15.6">
      <c r="B10" s="4623" t="s">
        <v>2221</v>
      </c>
      <c r="C10" s="4621">
        <v>5054400</v>
      </c>
      <c r="D10" s="4621">
        <v>7076200</v>
      </c>
      <c r="E10" s="4621">
        <f>+D10-C10</f>
        <v>2021800</v>
      </c>
      <c r="F10" s="4622">
        <f>D10/C10*100-100</f>
        <v>40.000791389680273</v>
      </c>
    </row>
    <row r="11" spans="1:6" ht="15.6">
      <c r="B11" s="6468" t="s">
        <v>2919</v>
      </c>
      <c r="C11" s="6468"/>
      <c r="D11" s="6468"/>
      <c r="E11" s="6468"/>
      <c r="F11" s="6468"/>
    </row>
    <row r="13" spans="1:6" ht="46.8">
      <c r="B13" s="4619" t="s">
        <v>2920</v>
      </c>
      <c r="C13" s="4619" t="s">
        <v>2921</v>
      </c>
      <c r="D13" s="4619" t="s">
        <v>2922</v>
      </c>
      <c r="E13" s="4619" t="s">
        <v>1616</v>
      </c>
    </row>
    <row r="14" spans="1:6">
      <c r="B14" s="4620" t="s">
        <v>2923</v>
      </c>
      <c r="C14" s="4624">
        <v>0.82</v>
      </c>
      <c r="D14" s="4624">
        <v>0.81</v>
      </c>
      <c r="E14" s="4624">
        <f>D14-C14</f>
        <v>-9.9999999999998979E-3</v>
      </c>
    </row>
    <row r="15" spans="1:6">
      <c r="B15" s="4620" t="s">
        <v>2924</v>
      </c>
      <c r="C15" s="4624">
        <v>0.18</v>
      </c>
      <c r="D15" s="4624">
        <f>100%-D14</f>
        <v>0.18999999999999995</v>
      </c>
      <c r="E15" s="4624">
        <f>D15-C15</f>
        <v>9.9999999999999534E-3</v>
      </c>
    </row>
    <row r="16" spans="1:6">
      <c r="B16" s="4620" t="s">
        <v>54</v>
      </c>
      <c r="C16" s="4624">
        <f>C14+C15</f>
        <v>1</v>
      </c>
      <c r="D16" s="4624">
        <f>D14+D15</f>
        <v>1</v>
      </c>
      <c r="E16" s="4624">
        <f>E14+E15</f>
        <v>5.5511151231257827E-17</v>
      </c>
    </row>
    <row r="17" spans="2:7" ht="15.6">
      <c r="B17" s="6468" t="s">
        <v>2925</v>
      </c>
      <c r="C17" s="6468"/>
      <c r="D17" s="6468"/>
      <c r="E17" s="6468"/>
      <c r="F17" s="6468"/>
    </row>
    <row r="18" spans="2:7" ht="15.6">
      <c r="B18" s="4625" t="s">
        <v>2926</v>
      </c>
      <c r="C18" s="4626"/>
      <c r="D18" s="4626"/>
      <c r="E18" s="4626"/>
    </row>
    <row r="19" spans="2:7" customFormat="1" ht="16.8">
      <c r="B19" s="6468" t="s">
        <v>2927</v>
      </c>
      <c r="C19" s="6468"/>
      <c r="D19" s="6468"/>
      <c r="E19" s="6468"/>
      <c r="F19" s="6468"/>
      <c r="G19" s="4627"/>
    </row>
    <row r="20" spans="2:7" customFormat="1" ht="16.8">
      <c r="B20" s="6468" t="s">
        <v>2928</v>
      </c>
      <c r="C20" s="6468"/>
      <c r="D20" s="6468"/>
      <c r="E20" s="6468"/>
      <c r="F20" s="6468"/>
      <c r="G20" s="4627"/>
    </row>
    <row r="21" spans="2:7" customFormat="1" ht="16.8">
      <c r="B21" s="6468" t="s">
        <v>2929</v>
      </c>
      <c r="C21" s="6468"/>
      <c r="D21" s="6468"/>
      <c r="E21" s="6468"/>
      <c r="F21" s="6468"/>
      <c r="G21" s="4627"/>
    </row>
    <row r="22" spans="2:7" customFormat="1" ht="16.8">
      <c r="B22" s="6468" t="s">
        <v>2930</v>
      </c>
      <c r="C22" s="6468"/>
      <c r="D22" s="6468"/>
      <c r="E22" s="6468"/>
      <c r="F22" s="6468"/>
      <c r="G22" s="4627"/>
    </row>
    <row r="23" spans="2:7" s="4614" customFormat="1" ht="15.6">
      <c r="B23" s="4615" t="s">
        <v>2931</v>
      </c>
    </row>
    <row r="24" spans="2:7" ht="15.6">
      <c r="B24" s="4614" t="s">
        <v>2932</v>
      </c>
    </row>
    <row r="25" spans="2:7" ht="15.6">
      <c r="E25" s="4628" t="s">
        <v>2913</v>
      </c>
    </row>
    <row r="26" spans="2:7" ht="62.4">
      <c r="B26" s="4619" t="s">
        <v>2914</v>
      </c>
      <c r="C26" s="4619" t="s">
        <v>2915</v>
      </c>
      <c r="D26" s="4619" t="s">
        <v>2916</v>
      </c>
      <c r="E26" s="4619" t="s">
        <v>2917</v>
      </c>
      <c r="F26" s="4619" t="s">
        <v>2918</v>
      </c>
    </row>
    <row r="27" spans="2:7">
      <c r="B27" s="4629" t="s">
        <v>2218</v>
      </c>
      <c r="C27" s="4621">
        <v>92200</v>
      </c>
      <c r="D27" s="4621">
        <v>129200</v>
      </c>
      <c r="E27" s="4621">
        <f>+D27-C27</f>
        <v>37000</v>
      </c>
      <c r="F27" s="4622">
        <f>D27/C27*100-100</f>
        <v>40.130151843817771</v>
      </c>
    </row>
    <row r="28" spans="2:7">
      <c r="B28" s="4620" t="s">
        <v>2219</v>
      </c>
      <c r="C28" s="4621">
        <v>102500</v>
      </c>
      <c r="D28" s="4621">
        <v>143500</v>
      </c>
      <c r="E28" s="4621">
        <f>+D28-C28</f>
        <v>41000</v>
      </c>
      <c r="F28" s="4622">
        <f>D28/C28*100-100</f>
        <v>40</v>
      </c>
    </row>
    <row r="29" spans="2:7">
      <c r="B29" s="4629" t="s">
        <v>2220</v>
      </c>
      <c r="C29" s="4621">
        <v>143500</v>
      </c>
      <c r="D29" s="4621">
        <v>200900</v>
      </c>
      <c r="E29" s="4621">
        <f>+D29-C29</f>
        <v>57400</v>
      </c>
      <c r="F29" s="4622">
        <f>D29/C29*100-100</f>
        <v>40</v>
      </c>
    </row>
    <row r="30" spans="2:7">
      <c r="B30" s="4629" t="s">
        <v>2221</v>
      </c>
      <c r="C30" s="4621">
        <v>205000</v>
      </c>
      <c r="D30" s="4621">
        <v>287000</v>
      </c>
      <c r="E30" s="4621">
        <f>+D30-C30</f>
        <v>82000</v>
      </c>
      <c r="F30" s="4622">
        <f>D30/C30*100-100</f>
        <v>40</v>
      </c>
    </row>
    <row r="31" spans="2:7" ht="15.6">
      <c r="B31" s="6468" t="s">
        <v>2933</v>
      </c>
      <c r="C31" s="6468"/>
      <c r="D31" s="6468"/>
      <c r="E31" s="6468"/>
      <c r="F31" s="6468"/>
    </row>
    <row r="33" spans="2:6" s="4614" customFormat="1" ht="15.6">
      <c r="B33" s="4615" t="s">
        <v>2934</v>
      </c>
    </row>
    <row r="34" spans="2:6" s="4614" customFormat="1" ht="15.6">
      <c r="B34" s="4614" t="s">
        <v>2935</v>
      </c>
    </row>
    <row r="35" spans="2:6">
      <c r="E35" s="4617" t="s">
        <v>2913</v>
      </c>
    </row>
    <row r="36" spans="2:6" ht="62.4">
      <c r="B36" s="4619" t="s">
        <v>2914</v>
      </c>
      <c r="C36" s="4619" t="s">
        <v>2915</v>
      </c>
      <c r="D36" s="4619" t="s">
        <v>2916</v>
      </c>
      <c r="E36" s="4619" t="s">
        <v>2917</v>
      </c>
      <c r="F36" s="4619" t="s">
        <v>2918</v>
      </c>
    </row>
    <row r="37" spans="2:6">
      <c r="B37" s="4629" t="s">
        <v>2218</v>
      </c>
      <c r="C37" s="4621">
        <v>182700</v>
      </c>
      <c r="D37" s="4621">
        <v>182700</v>
      </c>
      <c r="E37" s="4621">
        <f>+D37-C37</f>
        <v>0</v>
      </c>
      <c r="F37" s="4622">
        <f>D37/C37*100-100</f>
        <v>0</v>
      </c>
    </row>
    <row r="38" spans="2:6">
      <c r="B38" s="4620" t="s">
        <v>2219</v>
      </c>
      <c r="C38" s="4621">
        <v>246900</v>
      </c>
      <c r="D38" s="4621">
        <v>246900</v>
      </c>
      <c r="E38" s="4621">
        <f>+D38-C38</f>
        <v>0</v>
      </c>
      <c r="F38" s="4622">
        <f>D38/C38*100-100</f>
        <v>0</v>
      </c>
    </row>
    <row r="39" spans="2:6">
      <c r="B39" s="4629" t="s">
        <v>2220</v>
      </c>
      <c r="C39" s="4621">
        <v>333300</v>
      </c>
      <c r="D39" s="4621">
        <v>333300</v>
      </c>
      <c r="E39" s="4621">
        <f>+D39-C39</f>
        <v>0</v>
      </c>
      <c r="F39" s="4622">
        <f>D39/C39*100-100</f>
        <v>0</v>
      </c>
    </row>
    <row r="40" spans="2:6">
      <c r="B40" s="4629" t="s">
        <v>2221</v>
      </c>
      <c r="C40" s="4621">
        <v>469100</v>
      </c>
      <c r="D40" s="4621">
        <v>469100</v>
      </c>
      <c r="E40" s="4621">
        <f>+D40-C40</f>
        <v>0</v>
      </c>
      <c r="F40" s="4622">
        <f>D40/C40*100-100</f>
        <v>0</v>
      </c>
    </row>
    <row r="41" spans="2:6" ht="15.6">
      <c r="B41" s="6470" t="s">
        <v>2936</v>
      </c>
      <c r="C41" s="6470"/>
      <c r="D41" s="6470"/>
      <c r="E41" s="6470"/>
      <c r="F41" s="6470"/>
    </row>
    <row r="42" spans="2:6" ht="15.6">
      <c r="B42" s="4625" t="s">
        <v>2926</v>
      </c>
      <c r="C42" s="4626"/>
      <c r="D42" s="4626"/>
      <c r="E42" s="4626"/>
    </row>
    <row r="43" spans="2:6" ht="15.6">
      <c r="B43" s="6470" t="s">
        <v>2937</v>
      </c>
      <c r="C43" s="6470"/>
      <c r="D43" s="6470"/>
      <c r="E43" s="6470"/>
      <c r="F43" s="6470"/>
    </row>
    <row r="44" spans="2:6" s="4614" customFormat="1" ht="15.6">
      <c r="B44" s="4615" t="s">
        <v>2938</v>
      </c>
    </row>
    <row r="45" spans="2:6" s="4614" customFormat="1" ht="15.6">
      <c r="B45" s="4614" t="s">
        <v>2935</v>
      </c>
    </row>
    <row r="46" spans="2:6">
      <c r="E46" s="4617" t="s">
        <v>2913</v>
      </c>
    </row>
    <row r="47" spans="2:6" ht="62.4">
      <c r="B47" s="4619" t="s">
        <v>2914</v>
      </c>
      <c r="C47" s="4619" t="s">
        <v>2915</v>
      </c>
      <c r="D47" s="4619" t="s">
        <v>2916</v>
      </c>
      <c r="E47" s="4619" t="s">
        <v>2917</v>
      </c>
      <c r="F47" s="4619" t="s">
        <v>2918</v>
      </c>
    </row>
    <row r="48" spans="2:6">
      <c r="B48" s="4629" t="s">
        <v>2218</v>
      </c>
      <c r="C48" s="4621">
        <v>52700</v>
      </c>
      <c r="D48" s="4621">
        <v>73800</v>
      </c>
      <c r="E48" s="4621">
        <f>+D48-C48</f>
        <v>21100</v>
      </c>
      <c r="F48" s="4622">
        <f>D48/C48*100-100</f>
        <v>40.037950664136616</v>
      </c>
    </row>
    <row r="49" spans="2:6">
      <c r="B49" s="4629" t="s">
        <v>2939</v>
      </c>
      <c r="C49" s="4621">
        <v>48400</v>
      </c>
      <c r="D49" s="4621">
        <v>67800</v>
      </c>
      <c r="E49" s="4621">
        <f>+D49-C49</f>
        <v>19400</v>
      </c>
      <c r="F49" s="4622">
        <f>D49/C49*100-100</f>
        <v>40.082644628099189</v>
      </c>
    </row>
    <row r="50" spans="2:6">
      <c r="B50" s="4629" t="s">
        <v>2220</v>
      </c>
      <c r="C50" s="4621">
        <v>71600</v>
      </c>
      <c r="D50" s="4621">
        <v>100200</v>
      </c>
      <c r="E50" s="4621">
        <f>+D50-C50</f>
        <v>28600</v>
      </c>
      <c r="F50" s="4622">
        <f>D50/C50*100-100</f>
        <v>39.944134078212301</v>
      </c>
    </row>
    <row r="51" spans="2:6">
      <c r="B51" s="4629" t="s">
        <v>2221</v>
      </c>
      <c r="C51" s="4621">
        <v>87100</v>
      </c>
      <c r="D51" s="4621">
        <v>121900</v>
      </c>
      <c r="E51" s="4621">
        <f>+D51-C51</f>
        <v>34800</v>
      </c>
      <c r="F51" s="4622">
        <f>D51/C51*100-100</f>
        <v>39.954075774971301</v>
      </c>
    </row>
    <row r="53" spans="2:6" ht="15.6">
      <c r="B53" s="6470" t="s">
        <v>2940</v>
      </c>
      <c r="C53" s="6470"/>
      <c r="D53" s="6470"/>
      <c r="E53" s="6470"/>
      <c r="F53" s="6470"/>
    </row>
    <row r="54" spans="2:6">
      <c r="E54" s="4617" t="s">
        <v>2941</v>
      </c>
    </row>
    <row r="55" spans="2:6" ht="62.4">
      <c r="B55" s="4619" t="s">
        <v>2942</v>
      </c>
      <c r="C55" s="4619" t="s">
        <v>2915</v>
      </c>
      <c r="D55" s="4619" t="s">
        <v>2916</v>
      </c>
      <c r="E55" s="4619" t="s">
        <v>2917</v>
      </c>
      <c r="F55" s="4619" t="s">
        <v>2918</v>
      </c>
    </row>
    <row r="56" spans="2:6" s="4614" customFormat="1" ht="15.6">
      <c r="B56" s="4630" t="s">
        <v>2943</v>
      </c>
      <c r="C56" s="4630"/>
      <c r="D56" s="4630"/>
      <c r="E56" s="4630"/>
      <c r="F56" s="4630"/>
    </row>
    <row r="57" spans="2:6" ht="31.2">
      <c r="B57" s="4631" t="s">
        <v>2944</v>
      </c>
      <c r="C57" s="4632">
        <v>2160000000</v>
      </c>
      <c r="D57" s="4632">
        <v>3000000000</v>
      </c>
      <c r="E57" s="4632">
        <f>D57-C57</f>
        <v>840000000</v>
      </c>
      <c r="F57" s="4633">
        <f>D57/C57*100-100</f>
        <v>38.888888888888886</v>
      </c>
    </row>
    <row r="58" spans="2:6" ht="15.6">
      <c r="B58" s="4634" t="s">
        <v>2945</v>
      </c>
      <c r="C58" s="4629">
        <v>1730000000</v>
      </c>
      <c r="D58" s="4629">
        <v>2500000000</v>
      </c>
      <c r="E58" s="4629">
        <f>D58-C58</f>
        <v>770000000</v>
      </c>
      <c r="F58" s="4622">
        <f>D58/C58*100-100</f>
        <v>44.50867052023122</v>
      </c>
    </row>
    <row r="59" spans="2:6" s="4614" customFormat="1" ht="15.6">
      <c r="B59" s="4630" t="s">
        <v>2946</v>
      </c>
      <c r="C59" s="4630"/>
      <c r="D59" s="4630" t="s">
        <v>854</v>
      </c>
      <c r="E59" s="4630"/>
      <c r="F59" s="4622"/>
    </row>
    <row r="60" spans="2:6" ht="31.2">
      <c r="B60" s="4631" t="s">
        <v>2947</v>
      </c>
      <c r="C60" s="4632">
        <v>940000000</v>
      </c>
      <c r="D60" s="4632">
        <v>1200000000</v>
      </c>
      <c r="E60" s="4632">
        <f>D60-C60</f>
        <v>260000000</v>
      </c>
      <c r="F60" s="4633">
        <f>D60/C60*100-100</f>
        <v>27.659574468085111</v>
      </c>
    </row>
    <row r="61" spans="2:6" ht="15.6">
      <c r="B61" s="4634" t="s">
        <v>2948</v>
      </c>
      <c r="C61" s="4629">
        <v>530000000</v>
      </c>
      <c r="D61" s="4629">
        <v>700000000</v>
      </c>
      <c r="E61" s="4629">
        <f>D61-C61</f>
        <v>170000000</v>
      </c>
      <c r="F61" s="4622">
        <f>D61/C61*100-100</f>
        <v>32.075471698113205</v>
      </c>
    </row>
    <row r="62" spans="2:6">
      <c r="B62" s="4635"/>
      <c r="C62" s="4635"/>
      <c r="D62" s="4635"/>
      <c r="E62" s="4635"/>
      <c r="F62" s="4636"/>
    </row>
    <row r="63" spans="2:6" ht="15.6">
      <c r="B63" s="6470" t="s">
        <v>2949</v>
      </c>
      <c r="C63" s="6470"/>
      <c r="D63" s="6470"/>
      <c r="E63" s="6470"/>
      <c r="F63" s="6470"/>
    </row>
    <row r="64" spans="2:6">
      <c r="B64" s="6471"/>
      <c r="C64" s="6472"/>
      <c r="D64" s="6472"/>
      <c r="E64" s="6472"/>
      <c r="F64" s="6472"/>
    </row>
    <row r="65" spans="2:6" ht="46.8">
      <c r="B65" s="4619" t="s">
        <v>2950</v>
      </c>
      <c r="C65" s="4619" t="s">
        <v>2921</v>
      </c>
      <c r="D65" s="4619" t="s">
        <v>2922</v>
      </c>
      <c r="E65" s="4619" t="s">
        <v>1616</v>
      </c>
      <c r="F65" s="4637"/>
    </row>
    <row r="66" spans="2:6">
      <c r="B66" s="4629" t="s">
        <v>2923</v>
      </c>
      <c r="C66" s="4638">
        <v>0.75</v>
      </c>
      <c r="D66" s="4638">
        <v>0.75</v>
      </c>
      <c r="E66" s="4624">
        <f>D66-C66</f>
        <v>0</v>
      </c>
      <c r="F66" s="4637"/>
    </row>
    <row r="67" spans="2:6">
      <c r="B67" s="4629" t="s">
        <v>2951</v>
      </c>
      <c r="C67" s="4638">
        <v>0.25</v>
      </c>
      <c r="D67" s="4638">
        <f>100%-D66</f>
        <v>0.25</v>
      </c>
      <c r="E67" s="4624">
        <f>D67-C67</f>
        <v>0</v>
      </c>
      <c r="F67" s="4637"/>
    </row>
    <row r="68" spans="2:6">
      <c r="B68" s="4639" t="s">
        <v>54</v>
      </c>
      <c r="C68" s="4638">
        <f>C66+C67</f>
        <v>1</v>
      </c>
      <c r="D68" s="4638">
        <f>D66+D67</f>
        <v>1</v>
      </c>
      <c r="E68" s="4624">
        <f>E66+E67</f>
        <v>0</v>
      </c>
      <c r="F68" s="4637"/>
    </row>
    <row r="69" spans="2:6">
      <c r="B69" s="4640"/>
      <c r="C69" s="4637"/>
      <c r="D69" s="4637"/>
      <c r="E69" s="4637"/>
      <c r="F69" s="4637"/>
    </row>
    <row r="70" spans="2:6" s="4614" customFormat="1" ht="15.6">
      <c r="B70" s="4615" t="s">
        <v>2952</v>
      </c>
    </row>
    <row r="71" spans="2:6" ht="15.6">
      <c r="B71" s="4614" t="s">
        <v>2935</v>
      </c>
    </row>
    <row r="72" spans="2:6">
      <c r="E72" s="4617" t="s">
        <v>2913</v>
      </c>
    </row>
    <row r="73" spans="2:6" ht="62.4">
      <c r="B73" s="4619" t="s">
        <v>2914</v>
      </c>
      <c r="C73" s="4619" t="s">
        <v>2915</v>
      </c>
      <c r="D73" s="4619" t="s">
        <v>2916</v>
      </c>
      <c r="E73" s="4619" t="s">
        <v>2917</v>
      </c>
      <c r="F73" s="4619" t="s">
        <v>2918</v>
      </c>
    </row>
    <row r="74" spans="2:6">
      <c r="B74" s="4629" t="s">
        <v>2218</v>
      </c>
      <c r="C74" s="4621">
        <v>26600</v>
      </c>
      <c r="D74" s="4621">
        <v>37200</v>
      </c>
      <c r="E74" s="4621">
        <f>+D74-C74</f>
        <v>10600</v>
      </c>
      <c r="F74" s="4622">
        <f>D74/C74*100-100</f>
        <v>39.849624060150376</v>
      </c>
    </row>
    <row r="75" spans="2:6">
      <c r="B75" s="4620" t="s">
        <v>2219</v>
      </c>
      <c r="C75" s="4621">
        <v>29200</v>
      </c>
      <c r="D75" s="4621">
        <v>40900</v>
      </c>
      <c r="E75" s="4621">
        <f>+D75-C75</f>
        <v>11700</v>
      </c>
      <c r="F75" s="4622">
        <f>D75/C75*100-100</f>
        <v>40.06849315068493</v>
      </c>
    </row>
    <row r="76" spans="2:6">
      <c r="B76" s="4629" t="s">
        <v>2220</v>
      </c>
      <c r="C76" s="4621">
        <v>40900</v>
      </c>
      <c r="D76" s="4621">
        <v>57300</v>
      </c>
      <c r="E76" s="4621">
        <f>+D76-C76</f>
        <v>16400</v>
      </c>
      <c r="F76" s="4622">
        <f>D76/C76*100-100</f>
        <v>40.097799511002449</v>
      </c>
    </row>
    <row r="77" spans="2:6">
      <c r="B77" s="4629" t="s">
        <v>2221</v>
      </c>
      <c r="C77" s="4621">
        <v>56900</v>
      </c>
      <c r="D77" s="4621">
        <v>79700</v>
      </c>
      <c r="E77" s="4621">
        <f>+D77-C77</f>
        <v>22800</v>
      </c>
      <c r="F77" s="4622">
        <f>D77/C77*100-100</f>
        <v>40.07029876977154</v>
      </c>
    </row>
    <row r="78" spans="2:6">
      <c r="B78" s="4635"/>
      <c r="C78" s="4635"/>
      <c r="D78" s="4635"/>
      <c r="E78" s="4635"/>
      <c r="F78" s="4636"/>
    </row>
    <row r="79" spans="2:6" ht="15.6">
      <c r="B79" s="6473" t="s">
        <v>2953</v>
      </c>
      <c r="C79" s="6473"/>
      <c r="D79" s="6473"/>
      <c r="E79" s="6473"/>
      <c r="F79" s="6473"/>
    </row>
    <row r="80" spans="2:6" ht="15.6">
      <c r="B80" s="6470" t="s">
        <v>2954</v>
      </c>
      <c r="C80" s="6470"/>
      <c r="D80" s="6470"/>
      <c r="E80" s="6470"/>
      <c r="F80" s="6470"/>
    </row>
    <row r="82" spans="2:6" s="4614" customFormat="1" ht="15.6">
      <c r="B82" s="4615" t="s">
        <v>2955</v>
      </c>
    </row>
    <row r="83" spans="2:6" ht="15.6">
      <c r="B83" s="4614" t="s">
        <v>2935</v>
      </c>
    </row>
    <row r="84" spans="2:6">
      <c r="E84" s="4617" t="s">
        <v>2913</v>
      </c>
    </row>
    <row r="85" spans="2:6" ht="62.4">
      <c r="B85" s="4619" t="s">
        <v>2914</v>
      </c>
      <c r="C85" s="4619" t="s">
        <v>2915</v>
      </c>
      <c r="D85" s="4619" t="s">
        <v>2916</v>
      </c>
      <c r="E85" s="4619" t="s">
        <v>2917</v>
      </c>
      <c r="F85" s="4619" t="s">
        <v>2918</v>
      </c>
    </row>
    <row r="86" spans="2:6">
      <c r="B86" s="4629" t="s">
        <v>2218</v>
      </c>
      <c r="C86" s="4621">
        <v>15800</v>
      </c>
      <c r="D86" s="4621">
        <v>22100</v>
      </c>
      <c r="E86" s="4621">
        <f>+D86-C86</f>
        <v>6300</v>
      </c>
      <c r="F86" s="4622">
        <f>D86/C86*100-100</f>
        <v>39.87341772151899</v>
      </c>
    </row>
    <row r="87" spans="2:6">
      <c r="B87" s="4620" t="s">
        <v>2219</v>
      </c>
      <c r="C87" s="4621">
        <v>17600</v>
      </c>
      <c r="D87" s="4621">
        <v>24600</v>
      </c>
      <c r="E87" s="4621">
        <f>+D87-C87</f>
        <v>7000</v>
      </c>
      <c r="F87" s="4622">
        <f>D87/C87*100-100</f>
        <v>39.77272727272728</v>
      </c>
    </row>
    <row r="88" spans="2:6">
      <c r="B88" s="4629" t="s">
        <v>2220</v>
      </c>
      <c r="C88" s="4621">
        <v>24600</v>
      </c>
      <c r="D88" s="4621">
        <v>34400</v>
      </c>
      <c r="E88" s="4621">
        <f>+D88-C88</f>
        <v>9800</v>
      </c>
      <c r="F88" s="4622">
        <f>D88/C88*100-100</f>
        <v>39.837398373983746</v>
      </c>
    </row>
    <row r="89" spans="2:6">
      <c r="B89" s="4629" t="s">
        <v>2221</v>
      </c>
      <c r="C89" s="4621">
        <v>34200</v>
      </c>
      <c r="D89" s="4621">
        <v>47900</v>
      </c>
      <c r="E89" s="4621">
        <f>+D89-C89</f>
        <v>13700</v>
      </c>
      <c r="F89" s="4622">
        <f>D89/C89*100-100</f>
        <v>40.058479532163744</v>
      </c>
    </row>
    <row r="90" spans="2:6" ht="15.6">
      <c r="B90" s="6470" t="s">
        <v>2956</v>
      </c>
      <c r="C90" s="6470"/>
      <c r="D90" s="6470"/>
      <c r="E90" s="6470"/>
      <c r="F90" s="6470"/>
    </row>
    <row r="91" spans="2:6">
      <c r="B91" s="4635"/>
      <c r="C91" s="4635"/>
      <c r="D91" s="4635"/>
      <c r="E91" s="4635"/>
      <c r="F91" s="4636"/>
    </row>
    <row r="92" spans="2:6" s="4614" customFormat="1" ht="15.6">
      <c r="B92" s="4615" t="s">
        <v>2957</v>
      </c>
    </row>
    <row r="93" spans="2:6" ht="15.6">
      <c r="B93" s="4614" t="s">
        <v>2935</v>
      </c>
    </row>
    <row r="94" spans="2:6">
      <c r="E94" s="4617" t="s">
        <v>2913</v>
      </c>
    </row>
    <row r="95" spans="2:6" ht="62.4">
      <c r="B95" s="4619" t="s">
        <v>2914</v>
      </c>
      <c r="C95" s="4619" t="s">
        <v>2915</v>
      </c>
      <c r="D95" s="4619" t="s">
        <v>2916</v>
      </c>
      <c r="E95" s="4619" t="s">
        <v>2917</v>
      </c>
      <c r="F95" s="4619" t="s">
        <v>2918</v>
      </c>
    </row>
    <row r="96" spans="2:6">
      <c r="B96" s="4629" t="s">
        <v>2218</v>
      </c>
      <c r="C96" s="4621">
        <v>18600</v>
      </c>
      <c r="D96" s="4621">
        <v>26000</v>
      </c>
      <c r="E96" s="4621">
        <f>+D96-C96</f>
        <v>7400</v>
      </c>
      <c r="F96" s="4622">
        <f>D96/C96*100-100</f>
        <v>39.784946236559136</v>
      </c>
    </row>
    <row r="97" spans="2:6">
      <c r="B97" s="4620" t="s">
        <v>2219</v>
      </c>
      <c r="C97" s="4621">
        <v>13900</v>
      </c>
      <c r="D97" s="4621">
        <v>19500</v>
      </c>
      <c r="E97" s="4621">
        <f>+D97-C97</f>
        <v>5600</v>
      </c>
      <c r="F97" s="4622">
        <f>D97/C97*100-100</f>
        <v>40.287769784172667</v>
      </c>
    </row>
    <row r="98" spans="2:6">
      <c r="B98" s="4629" t="s">
        <v>2220</v>
      </c>
      <c r="C98" s="4621">
        <v>19500</v>
      </c>
      <c r="D98" s="4621">
        <v>27300</v>
      </c>
      <c r="E98" s="4621">
        <f>+D98-C98</f>
        <v>7800</v>
      </c>
      <c r="F98" s="4622">
        <f>D98/C98*100-100</f>
        <v>40</v>
      </c>
    </row>
    <row r="99" spans="2:6">
      <c r="B99" s="4629" t="s">
        <v>2221</v>
      </c>
      <c r="C99" s="4621">
        <v>26400</v>
      </c>
      <c r="D99" s="4621">
        <v>37000</v>
      </c>
      <c r="E99" s="4621">
        <f>+D99-C99</f>
        <v>10600</v>
      </c>
      <c r="F99" s="4622">
        <f>D99/C99*100-100</f>
        <v>40.151515151515156</v>
      </c>
    </row>
    <row r="100" spans="2:6" ht="15.6">
      <c r="B100" s="6470" t="s">
        <v>2958</v>
      </c>
      <c r="C100" s="6470"/>
      <c r="D100" s="6470"/>
      <c r="E100" s="6470"/>
      <c r="F100" s="6470"/>
    </row>
    <row r="102" spans="2:6" s="4614" customFormat="1" ht="15.6">
      <c r="B102" s="4615" t="s">
        <v>2959</v>
      </c>
    </row>
    <row r="103" spans="2:6" ht="15.6">
      <c r="B103" s="4614" t="s">
        <v>2935</v>
      </c>
    </row>
    <row r="104" spans="2:6">
      <c r="E104" s="4617" t="s">
        <v>2913</v>
      </c>
    </row>
    <row r="105" spans="2:6" ht="62.4">
      <c r="B105" s="4619" t="s">
        <v>2914</v>
      </c>
      <c r="C105" s="4619" t="s">
        <v>2915</v>
      </c>
      <c r="D105" s="4619" t="s">
        <v>2916</v>
      </c>
      <c r="E105" s="4619" t="s">
        <v>2917</v>
      </c>
      <c r="F105" s="4619" t="s">
        <v>2918</v>
      </c>
    </row>
    <row r="106" spans="2:6">
      <c r="B106" s="4629" t="s">
        <v>2218</v>
      </c>
      <c r="C106" s="4621">
        <v>31000</v>
      </c>
      <c r="D106" s="4621">
        <v>43400</v>
      </c>
      <c r="E106" s="4621">
        <f>+D106-C106</f>
        <v>12400</v>
      </c>
      <c r="F106" s="4622">
        <f>D106/C106*100-100</f>
        <v>40</v>
      </c>
    </row>
    <row r="107" spans="2:6">
      <c r="B107" s="4620" t="s">
        <v>2219</v>
      </c>
      <c r="C107" s="4621">
        <v>33700</v>
      </c>
      <c r="D107" s="4621">
        <v>47200</v>
      </c>
      <c r="E107" s="4621">
        <f>+D107-C107</f>
        <v>13500</v>
      </c>
      <c r="F107" s="4622">
        <f>D107/C107*100-100</f>
        <v>40.059347181008889</v>
      </c>
    </row>
    <row r="108" spans="2:6">
      <c r="B108" s="4629" t="s">
        <v>2220</v>
      </c>
      <c r="C108" s="4621">
        <v>47200</v>
      </c>
      <c r="D108" s="4621">
        <v>66100</v>
      </c>
      <c r="E108" s="4621">
        <f>+D108-C108</f>
        <v>18900</v>
      </c>
      <c r="F108" s="4622">
        <f>D108/C108*100-100</f>
        <v>40.042372881355931</v>
      </c>
    </row>
    <row r="109" spans="2:6">
      <c r="B109" s="4629" t="s">
        <v>2221</v>
      </c>
      <c r="C109" s="4621">
        <v>57300</v>
      </c>
      <c r="D109" s="4621">
        <v>80200</v>
      </c>
      <c r="E109" s="4621">
        <f>+D109-C109</f>
        <v>22900</v>
      </c>
      <c r="F109" s="4622">
        <f>D109/C109*100-100</f>
        <v>39.965095986038392</v>
      </c>
    </row>
    <row r="111" spans="2:6" ht="15.6">
      <c r="B111" s="4641" t="s">
        <v>2960</v>
      </c>
      <c r="C111" s="4642"/>
      <c r="D111" s="4642"/>
      <c r="E111" s="4642"/>
      <c r="F111" s="4642"/>
    </row>
    <row r="112" spans="2:6" ht="15.6">
      <c r="B112" s="6468" t="s">
        <v>2961</v>
      </c>
      <c r="C112" s="6468"/>
      <c r="D112" s="6468"/>
      <c r="E112" s="6468"/>
      <c r="F112" s="6468"/>
    </row>
    <row r="113" spans="2:6" ht="15.6">
      <c r="B113" s="6468" t="s">
        <v>2962</v>
      </c>
      <c r="C113" s="6468"/>
      <c r="D113" s="6468"/>
      <c r="E113" s="6468"/>
      <c r="F113" s="6468"/>
    </row>
    <row r="114" spans="2:6" ht="15.6">
      <c r="B114" s="6468" t="s">
        <v>2963</v>
      </c>
      <c r="C114" s="6468"/>
      <c r="D114" s="6468"/>
      <c r="E114" s="6468"/>
      <c r="F114" s="6468"/>
    </row>
    <row r="116" spans="2:6" s="4614" customFormat="1" ht="15.6">
      <c r="B116" s="4615" t="s">
        <v>2964</v>
      </c>
    </row>
    <row r="117" spans="2:6" ht="15.6">
      <c r="B117" s="4614" t="s">
        <v>2935</v>
      </c>
    </row>
    <row r="118" spans="2:6">
      <c r="E118" s="4617" t="s">
        <v>2913</v>
      </c>
    </row>
    <row r="119" spans="2:6" ht="62.4">
      <c r="B119" s="4619" t="s">
        <v>2914</v>
      </c>
      <c r="C119" s="4619" t="s">
        <v>2915</v>
      </c>
      <c r="D119" s="4619" t="s">
        <v>2916</v>
      </c>
      <c r="E119" s="4619" t="s">
        <v>2917</v>
      </c>
      <c r="F119" s="4619" t="s">
        <v>2918</v>
      </c>
    </row>
    <row r="120" spans="2:6" s="4614" customFormat="1" ht="15.6">
      <c r="B120" s="4629" t="s">
        <v>2218</v>
      </c>
      <c r="C120" s="4621">
        <v>31800</v>
      </c>
      <c r="D120" s="4621">
        <v>70000</v>
      </c>
      <c r="E120" s="4621">
        <f>+D120-C120</f>
        <v>38200</v>
      </c>
      <c r="F120" s="4622">
        <f>D120/C120*100-100</f>
        <v>120.12578616352201</v>
      </c>
    </row>
    <row r="121" spans="2:6">
      <c r="B121" s="4620" t="s">
        <v>2219</v>
      </c>
      <c r="C121" s="4621">
        <v>31800</v>
      </c>
      <c r="D121" s="4621">
        <v>70000</v>
      </c>
      <c r="E121" s="4621">
        <f>+D121-C121</f>
        <v>38200</v>
      </c>
      <c r="F121" s="4622">
        <f>D121/C121*100-100</f>
        <v>120.12578616352201</v>
      </c>
    </row>
    <row r="122" spans="2:6">
      <c r="B122" s="4629" t="s">
        <v>2220</v>
      </c>
      <c r="C122" s="4621">
        <v>44500</v>
      </c>
      <c r="D122" s="4621">
        <v>97900</v>
      </c>
      <c r="E122" s="4621">
        <f>+D122-C122</f>
        <v>53400</v>
      </c>
      <c r="F122" s="4622">
        <f>D122/C122*100-100</f>
        <v>120.00000000000003</v>
      </c>
    </row>
    <row r="123" spans="2:6">
      <c r="B123" s="4629" t="s">
        <v>2221</v>
      </c>
      <c r="C123" s="4621">
        <v>63600</v>
      </c>
      <c r="D123" s="4621">
        <v>139900</v>
      </c>
      <c r="E123" s="4621">
        <f>+D123-C123</f>
        <v>76300</v>
      </c>
      <c r="F123" s="4622">
        <f>D123/C123*100-100</f>
        <v>119.96855345911951</v>
      </c>
    </row>
    <row r="124" spans="2:6">
      <c r="B124" s="4635"/>
      <c r="C124" s="4635"/>
      <c r="D124" s="4635"/>
      <c r="E124" s="4635"/>
      <c r="F124" s="4636"/>
    </row>
    <row r="125" spans="2:6" ht="15.6">
      <c r="B125" s="4643" t="s">
        <v>2926</v>
      </c>
      <c r="C125" s="4635"/>
      <c r="D125" s="4635"/>
      <c r="E125" s="4635"/>
      <c r="F125" s="4636"/>
    </row>
    <row r="126" spans="2:6" ht="15.6">
      <c r="E126" s="4628" t="s">
        <v>2965</v>
      </c>
    </row>
    <row r="127" spans="2:6" ht="62.4">
      <c r="B127" s="4619" t="s">
        <v>2966</v>
      </c>
      <c r="C127" s="4619" t="s">
        <v>2915</v>
      </c>
      <c r="D127" s="4619" t="s">
        <v>2916</v>
      </c>
      <c r="E127" s="4619" t="s">
        <v>2917</v>
      </c>
      <c r="F127" s="4619" t="s">
        <v>2918</v>
      </c>
    </row>
    <row r="128" spans="2:6" s="4645" customFormat="1" ht="15.6">
      <c r="B128" s="4623" t="s">
        <v>2967</v>
      </c>
      <c r="C128" s="4644"/>
      <c r="D128" s="4644">
        <v>1500</v>
      </c>
      <c r="E128" s="4644">
        <f>+D128-C128</f>
        <v>1500</v>
      </c>
      <c r="F128" s="4644"/>
    </row>
    <row r="129" spans="2:6" ht="15.6">
      <c r="B129" s="4623" t="s">
        <v>2312</v>
      </c>
      <c r="C129" s="4629">
        <v>800</v>
      </c>
      <c r="D129" s="4629">
        <v>1500</v>
      </c>
      <c r="E129" s="4621">
        <f>+D129-C129</f>
        <v>700</v>
      </c>
      <c r="F129" s="4622">
        <f>D129/C129*100-100</f>
        <v>87.5</v>
      </c>
    </row>
    <row r="130" spans="2:6" ht="15.6">
      <c r="B130" s="4623" t="s">
        <v>2968</v>
      </c>
      <c r="C130" s="4629">
        <v>800</v>
      </c>
      <c r="D130" s="4629">
        <v>1500</v>
      </c>
      <c r="E130" s="4621">
        <f>+D130-C130</f>
        <v>700</v>
      </c>
      <c r="F130" s="4622">
        <f>D130/C130*100-100</f>
        <v>87.5</v>
      </c>
    </row>
    <row r="131" spans="2:6" ht="15.6">
      <c r="B131" s="4623" t="s">
        <v>2969</v>
      </c>
      <c r="C131" s="4629">
        <v>0</v>
      </c>
      <c r="D131" s="4629">
        <v>500</v>
      </c>
      <c r="E131" s="4621">
        <f>+D131-C131</f>
        <v>500</v>
      </c>
      <c r="F131" s="4622"/>
    </row>
    <row r="132" spans="2:6" ht="15.6">
      <c r="B132" s="4623" t="s">
        <v>2313</v>
      </c>
      <c r="C132" s="4629">
        <f>800*1.4</f>
        <v>1120</v>
      </c>
      <c r="D132" s="4629">
        <v>2000</v>
      </c>
      <c r="E132" s="4621">
        <f>+D132-C132</f>
        <v>880</v>
      </c>
      <c r="F132" s="4622">
        <f>D132/C132*100-100</f>
        <v>78.571428571428584</v>
      </c>
    </row>
    <row r="133" spans="2:6">
      <c r="B133" s="4646"/>
      <c r="C133" s="4635"/>
      <c r="D133" s="4635"/>
      <c r="E133" s="4635"/>
      <c r="F133" s="4636"/>
    </row>
    <row r="135" spans="2:6" ht="15.6">
      <c r="B135" s="4615" t="s">
        <v>2970</v>
      </c>
      <c r="C135" s="4614"/>
      <c r="D135" s="4614"/>
      <c r="E135" s="4614"/>
      <c r="F135" s="4614"/>
    </row>
    <row r="136" spans="2:6" ht="15.6">
      <c r="B136" s="4614" t="s">
        <v>2935</v>
      </c>
    </row>
    <row r="137" spans="2:6">
      <c r="E137" s="4617" t="s">
        <v>2913</v>
      </c>
    </row>
    <row r="138" spans="2:6" ht="62.4">
      <c r="B138" s="4619" t="s">
        <v>2914</v>
      </c>
      <c r="C138" s="4619" t="s">
        <v>2915</v>
      </c>
      <c r="D138" s="4619" t="s">
        <v>2916</v>
      </c>
      <c r="E138" s="4619" t="s">
        <v>2917</v>
      </c>
      <c r="F138" s="4619" t="s">
        <v>2918</v>
      </c>
    </row>
    <row r="139" spans="2:6">
      <c r="B139" s="4629" t="s">
        <v>2218</v>
      </c>
      <c r="C139" s="4621">
        <v>18200</v>
      </c>
      <c r="D139" s="4621">
        <v>40000</v>
      </c>
      <c r="E139" s="4621">
        <f>+D139-C139</f>
        <v>21800</v>
      </c>
      <c r="F139" s="4622">
        <f>D139/C139*100-100</f>
        <v>119.7802197802198</v>
      </c>
    </row>
    <row r="140" spans="2:6">
      <c r="B140" s="4620" t="s">
        <v>2219</v>
      </c>
      <c r="C140" s="4621">
        <v>13800</v>
      </c>
      <c r="D140" s="4621">
        <v>30400</v>
      </c>
      <c r="E140" s="4621">
        <f>+D140-C140</f>
        <v>16600</v>
      </c>
      <c r="F140" s="4622">
        <f>D140/C140*100-100</f>
        <v>120.28985507246378</v>
      </c>
    </row>
    <row r="141" spans="2:6">
      <c r="B141" s="4629" t="s">
        <v>2220</v>
      </c>
      <c r="C141" s="4621">
        <v>19300</v>
      </c>
      <c r="D141" s="4621">
        <v>42500</v>
      </c>
      <c r="E141" s="4621">
        <f>+D141-C141</f>
        <v>23200</v>
      </c>
      <c r="F141" s="4622">
        <f>D141/C141*100-100</f>
        <v>120.20725388601034</v>
      </c>
    </row>
    <row r="142" spans="2:6">
      <c r="B142" s="4629" t="s">
        <v>2221</v>
      </c>
      <c r="C142" s="4621">
        <v>27600</v>
      </c>
      <c r="D142" s="4621">
        <v>60700</v>
      </c>
      <c r="E142" s="4621">
        <f>+D142-C142</f>
        <v>33100</v>
      </c>
      <c r="F142" s="4622">
        <f>D142/C142*100-100</f>
        <v>119.92753623188409</v>
      </c>
    </row>
    <row r="143" spans="2:6">
      <c r="B143" s="4635"/>
      <c r="C143" s="4635"/>
      <c r="D143" s="4635"/>
      <c r="E143" s="4635"/>
      <c r="F143" s="4636"/>
    </row>
    <row r="144" spans="2:6" ht="15.6">
      <c r="B144" s="4643" t="s">
        <v>2926</v>
      </c>
      <c r="C144" s="4635"/>
      <c r="D144" s="4635"/>
      <c r="E144" s="4635"/>
      <c r="F144" s="4636"/>
    </row>
    <row r="145" spans="2:6">
      <c r="E145" s="4617" t="s">
        <v>2971</v>
      </c>
    </row>
    <row r="146" spans="2:6" ht="62.4">
      <c r="B146" s="4619" t="s">
        <v>2966</v>
      </c>
      <c r="C146" s="4619" t="s">
        <v>2915</v>
      </c>
      <c r="D146" s="4619" t="s">
        <v>2916</v>
      </c>
      <c r="E146" s="4619" t="s">
        <v>2917</v>
      </c>
      <c r="F146" s="4619" t="s">
        <v>2918</v>
      </c>
    </row>
    <row r="147" spans="2:6" ht="15.6">
      <c r="B147" s="4623" t="s">
        <v>2967</v>
      </c>
      <c r="C147" s="4629"/>
      <c r="D147" s="4629">
        <v>5000</v>
      </c>
      <c r="E147" s="4621">
        <f>+D147-C147</f>
        <v>5000</v>
      </c>
      <c r="F147" s="4622"/>
    </row>
    <row r="148" spans="2:6" ht="15.6">
      <c r="B148" s="4623" t="s">
        <v>2312</v>
      </c>
      <c r="C148" s="4629">
        <v>600</v>
      </c>
      <c r="D148" s="4629">
        <v>1500</v>
      </c>
      <c r="E148" s="4621">
        <f>+D148-C148</f>
        <v>900</v>
      </c>
      <c r="F148" s="4622">
        <f>D148/C148*100-100</f>
        <v>150</v>
      </c>
    </row>
    <row r="149" spans="2:6" ht="15.6">
      <c r="B149" s="4623" t="s">
        <v>2968</v>
      </c>
      <c r="C149" s="4629"/>
      <c r="D149" s="4629">
        <v>500</v>
      </c>
      <c r="E149" s="4621">
        <f>+D149-C149</f>
        <v>500</v>
      </c>
      <c r="F149" s="4622"/>
    </row>
    <row r="150" spans="2:6" ht="15.6">
      <c r="B150" s="4623" t="s">
        <v>2969</v>
      </c>
      <c r="C150" s="4629"/>
      <c r="D150" s="4629">
        <v>5000</v>
      </c>
      <c r="E150" s="4621">
        <f>+D150-C150</f>
        <v>5000</v>
      </c>
      <c r="F150" s="4622"/>
    </row>
    <row r="151" spans="2:6" ht="15.6">
      <c r="B151" s="4623" t="s">
        <v>2313</v>
      </c>
      <c r="C151" s="4629">
        <v>840</v>
      </c>
      <c r="D151" s="4629">
        <v>2000</v>
      </c>
      <c r="E151" s="4621">
        <f>+D151-C151</f>
        <v>1160</v>
      </c>
      <c r="F151" s="4622">
        <f>D151/C151*100-100</f>
        <v>138.0952380952381</v>
      </c>
    </row>
    <row r="152" spans="2:6" ht="15.6">
      <c r="B152" s="4647"/>
    </row>
    <row r="153" spans="2:6" s="4614" customFormat="1" ht="15.6">
      <c r="B153" s="4615" t="s">
        <v>2972</v>
      </c>
    </row>
    <row r="154" spans="2:6" ht="15.6">
      <c r="B154" s="6470" t="s">
        <v>2973</v>
      </c>
      <c r="C154" s="6470"/>
      <c r="D154" s="6470"/>
      <c r="E154" s="6470"/>
      <c r="F154" s="6470"/>
    </row>
    <row r="156" spans="2:6" s="4614" customFormat="1" ht="15.6">
      <c r="B156" s="4615" t="s">
        <v>2974</v>
      </c>
    </row>
    <row r="157" spans="2:6" ht="15.6">
      <c r="B157" s="6470" t="s">
        <v>2975</v>
      </c>
      <c r="C157" s="6470"/>
      <c r="D157" s="6470"/>
      <c r="E157" s="6470"/>
      <c r="F157" s="6470"/>
    </row>
    <row r="158" spans="2:6" ht="15.6">
      <c r="B158" s="6473" t="s">
        <v>2976</v>
      </c>
      <c r="C158" s="6473"/>
      <c r="D158" s="6473"/>
      <c r="E158" s="6473"/>
      <c r="F158" s="6473"/>
    </row>
    <row r="159" spans="2:6" ht="15.6">
      <c r="B159" s="4642"/>
      <c r="C159" s="4617" t="s">
        <v>2913</v>
      </c>
      <c r="D159" s="4642"/>
      <c r="E159" s="4642"/>
      <c r="F159" s="4642"/>
    </row>
    <row r="160" spans="2:6" ht="31.2">
      <c r="B160" s="4619" t="s">
        <v>2914</v>
      </c>
      <c r="C160" s="4619" t="s">
        <v>2916</v>
      </c>
      <c r="D160" s="4642"/>
      <c r="E160" s="4642"/>
      <c r="F160" s="4642"/>
    </row>
    <row r="161" spans="2:6" ht="15.6">
      <c r="B161" s="4629" t="s">
        <v>2218</v>
      </c>
      <c r="C161" s="4629">
        <v>372500</v>
      </c>
      <c r="D161" s="4642"/>
      <c r="E161" s="4642"/>
      <c r="F161" s="4642"/>
    </row>
    <row r="162" spans="2:6" ht="15.6">
      <c r="B162" s="4620" t="s">
        <v>2219</v>
      </c>
      <c r="C162" s="4629">
        <v>438200</v>
      </c>
      <c r="D162" s="4642"/>
      <c r="E162" s="4642"/>
      <c r="F162" s="4642"/>
    </row>
    <row r="163" spans="2:6" ht="15.6">
      <c r="B163" s="4629" t="s">
        <v>2220</v>
      </c>
      <c r="C163" s="4629">
        <v>657300</v>
      </c>
      <c r="D163" s="4642"/>
      <c r="E163" s="4642"/>
      <c r="F163" s="4642"/>
    </row>
    <row r="164" spans="2:6" ht="15.6">
      <c r="B164" s="4629" t="s">
        <v>2221</v>
      </c>
      <c r="C164" s="4629">
        <v>876400</v>
      </c>
      <c r="D164" s="4642"/>
      <c r="E164" s="4642"/>
      <c r="F164" s="4642"/>
    </row>
    <row r="165" spans="2:6" ht="15.6">
      <c r="B165" s="4642"/>
      <c r="C165" s="4642"/>
      <c r="D165" s="4642"/>
      <c r="E165" s="4642"/>
      <c r="F165" s="4642"/>
    </row>
    <row r="166" spans="2:6" ht="15.6">
      <c r="B166" s="4648" t="s">
        <v>2926</v>
      </c>
      <c r="C166" s="4637"/>
      <c r="D166" s="4637"/>
      <c r="E166" s="4637"/>
      <c r="F166" s="4637"/>
    </row>
    <row r="167" spans="2:6" ht="15.6">
      <c r="B167" s="6470" t="s">
        <v>2977</v>
      </c>
      <c r="C167" s="6470"/>
      <c r="D167" s="6470"/>
      <c r="E167" s="6470"/>
      <c r="F167" s="6470"/>
    </row>
    <row r="168" spans="2:6" ht="15.6">
      <c r="B168" s="6470" t="s">
        <v>2978</v>
      </c>
      <c r="C168" s="6470"/>
      <c r="D168" s="6470"/>
      <c r="E168" s="6470"/>
      <c r="F168" s="6470"/>
    </row>
    <row r="169" spans="2:6">
      <c r="B169" s="4649"/>
      <c r="C169" s="4637"/>
      <c r="D169" s="4637"/>
      <c r="E169" s="4617" t="s">
        <v>2971</v>
      </c>
      <c r="F169" s="4637"/>
    </row>
    <row r="170" spans="2:6" ht="62.4">
      <c r="B170" s="4619" t="s">
        <v>2979</v>
      </c>
      <c r="C170" s="4619" t="s">
        <v>2915</v>
      </c>
      <c r="D170" s="4619" t="s">
        <v>2916</v>
      </c>
      <c r="E170" s="4619" t="s">
        <v>2917</v>
      </c>
      <c r="F170" s="4619" t="s">
        <v>2918</v>
      </c>
    </row>
    <row r="171" spans="2:6" ht="15.6">
      <c r="B171" s="4623" t="s">
        <v>2980</v>
      </c>
      <c r="C171" s="4629">
        <v>76500</v>
      </c>
      <c r="D171" s="4629">
        <v>140000</v>
      </c>
      <c r="E171" s="4629">
        <f>+D171-C171</f>
        <v>63500</v>
      </c>
      <c r="F171" s="4622">
        <f>D171/C171*100-100</f>
        <v>83.006535947712422</v>
      </c>
    </row>
    <row r="172" spans="2:6">
      <c r="B172" s="4620" t="s">
        <v>2326</v>
      </c>
      <c r="C172" s="4629">
        <v>46500</v>
      </c>
      <c r="D172" s="4629">
        <v>85000</v>
      </c>
      <c r="E172" s="4629">
        <f>+D172-C172</f>
        <v>38500</v>
      </c>
      <c r="F172" s="4622">
        <f>D172/C172*100-100</f>
        <v>82.79569892473117</v>
      </c>
    </row>
    <row r="173" spans="2:6">
      <c r="B173" s="4620" t="s">
        <v>2327</v>
      </c>
      <c r="C173" s="4629">
        <v>12750</v>
      </c>
      <c r="D173" s="4629">
        <v>24000</v>
      </c>
      <c r="E173" s="4629">
        <f>+D173-C173</f>
        <v>11250</v>
      </c>
      <c r="F173" s="4622">
        <f>D173/C173*100-100</f>
        <v>88.235294117647044</v>
      </c>
    </row>
    <row r="174" spans="2:6">
      <c r="B174" s="4620" t="s">
        <v>2328</v>
      </c>
      <c r="C174" s="4629">
        <v>8500</v>
      </c>
      <c r="D174" s="4629">
        <v>17000</v>
      </c>
      <c r="E174" s="4629">
        <f>+D174-C174</f>
        <v>8500</v>
      </c>
      <c r="F174" s="4622">
        <f>D174/C174*100-100</f>
        <v>100</v>
      </c>
    </row>
    <row r="175" spans="2:6" ht="15.6">
      <c r="B175" s="4623" t="s">
        <v>2329</v>
      </c>
      <c r="C175" s="4629">
        <v>5000</v>
      </c>
      <c r="D175" s="4629">
        <v>8500</v>
      </c>
      <c r="E175" s="4629">
        <f>+D175-C175</f>
        <v>3500</v>
      </c>
      <c r="F175" s="4622">
        <f>D175/C175*100-100</f>
        <v>70</v>
      </c>
    </row>
    <row r="176" spans="2:6" ht="15.6">
      <c r="B176" s="6470" t="s">
        <v>2981</v>
      </c>
      <c r="C176" s="6470"/>
      <c r="D176" s="6470"/>
      <c r="E176" s="6470"/>
      <c r="F176" s="6470"/>
    </row>
    <row r="177" spans="2:6" ht="15.6">
      <c r="B177" s="6470" t="s">
        <v>2982</v>
      </c>
      <c r="C177" s="6470"/>
      <c r="D177" s="6470"/>
      <c r="E177" s="6470"/>
      <c r="F177" s="6470"/>
    </row>
    <row r="178" spans="2:6" ht="15.6">
      <c r="B178" s="6470" t="s">
        <v>2983</v>
      </c>
      <c r="C178" s="6470"/>
      <c r="D178" s="6470"/>
      <c r="E178" s="6470"/>
      <c r="F178" s="6470"/>
    </row>
    <row r="179" spans="2:6">
      <c r="B179" s="4649"/>
      <c r="C179" s="4637"/>
      <c r="D179" s="4637"/>
      <c r="E179" s="4637"/>
      <c r="F179" s="4637"/>
    </row>
    <row r="180" spans="2:6" s="4614" customFormat="1" ht="15.6">
      <c r="B180" s="4615" t="s">
        <v>2984</v>
      </c>
    </row>
    <row r="181" spans="2:6" ht="15.6">
      <c r="B181" s="6470" t="s">
        <v>2985</v>
      </c>
      <c r="C181" s="6470"/>
      <c r="D181" s="6470"/>
      <c r="E181" s="6470"/>
      <c r="F181" s="6470"/>
    </row>
    <row r="182" spans="2:6" ht="15.6">
      <c r="B182" s="6474" t="s">
        <v>2986</v>
      </c>
      <c r="C182" s="6470"/>
      <c r="D182" s="6470"/>
      <c r="E182" s="6470"/>
      <c r="F182" s="6470"/>
    </row>
    <row r="183" spans="2:6" ht="15.6">
      <c r="B183" s="6470" t="s">
        <v>2987</v>
      </c>
      <c r="C183" s="6470"/>
      <c r="D183" s="6470"/>
      <c r="E183" s="6470"/>
      <c r="F183" s="6470"/>
    </row>
    <row r="184" spans="2:6" ht="15.6">
      <c r="B184" s="6470" t="s">
        <v>2988</v>
      </c>
      <c r="C184" s="6470"/>
      <c r="D184" s="6470"/>
      <c r="E184" s="6470"/>
      <c r="F184" s="6470"/>
    </row>
    <row r="185" spans="2:6" ht="15.6">
      <c r="B185" s="6474" t="s">
        <v>2989</v>
      </c>
      <c r="C185" s="6470"/>
      <c r="D185" s="6470"/>
      <c r="E185" s="6470"/>
      <c r="F185" s="6470"/>
    </row>
    <row r="186" spans="2:6" ht="15.6">
      <c r="B186" s="6474" t="s">
        <v>2990</v>
      </c>
      <c r="C186" s="6470"/>
      <c r="D186" s="6470"/>
      <c r="E186" s="6470"/>
      <c r="F186" s="6470"/>
    </row>
    <row r="187" spans="2:6" ht="15.6">
      <c r="B187" s="6474" t="s">
        <v>2991</v>
      </c>
      <c r="C187" s="6470"/>
      <c r="D187" s="6470"/>
      <c r="E187" s="6470"/>
      <c r="F187" s="6470"/>
    </row>
    <row r="188" spans="2:6" ht="15.6">
      <c r="B188" s="6474" t="s">
        <v>2992</v>
      </c>
      <c r="C188" s="6470"/>
      <c r="D188" s="6470"/>
      <c r="E188" s="6470"/>
      <c r="F188" s="6470"/>
    </row>
    <row r="190" spans="2:6" s="4614" customFormat="1" ht="15.6">
      <c r="B190" s="4615" t="s">
        <v>2993</v>
      </c>
    </row>
    <row r="191" spans="2:6" ht="15.6">
      <c r="B191" s="6470" t="s">
        <v>2994</v>
      </c>
      <c r="C191" s="6470"/>
      <c r="D191" s="6470"/>
      <c r="E191" s="6470"/>
      <c r="F191" s="6470"/>
    </row>
    <row r="193" spans="2:6" s="4614" customFormat="1" ht="15.6">
      <c r="B193" s="4614" t="s">
        <v>2995</v>
      </c>
      <c r="F193" s="4643"/>
    </row>
    <row r="194" spans="2:6" ht="109.2">
      <c r="B194" s="4619" t="s">
        <v>2996</v>
      </c>
      <c r="C194" s="4619" t="s">
        <v>2997</v>
      </c>
      <c r="D194" s="4619" t="s">
        <v>2998</v>
      </c>
      <c r="E194" s="4619" t="s">
        <v>2917</v>
      </c>
      <c r="F194" s="4650"/>
    </row>
    <row r="195" spans="2:6">
      <c r="B195" s="4620" t="s">
        <v>2999</v>
      </c>
      <c r="C195" s="4624">
        <v>0.09</v>
      </c>
      <c r="D195" s="4624">
        <v>0.15</v>
      </c>
      <c r="E195" s="4624">
        <f>+D195-C195</f>
        <v>0.06</v>
      </c>
      <c r="F195" s="4636"/>
    </row>
    <row r="197" spans="2:6" ht="15.6">
      <c r="B197" s="4615" t="s">
        <v>3000</v>
      </c>
    </row>
    <row r="198" spans="2:6" ht="15.6">
      <c r="B198" s="6470" t="s">
        <v>3001</v>
      </c>
      <c r="C198" s="6470"/>
      <c r="D198" s="6470"/>
      <c r="E198" s="6470"/>
      <c r="F198" s="6470"/>
    </row>
    <row r="199" spans="2:6" s="4614" customFormat="1" ht="15.6">
      <c r="B199" s="4615" t="s">
        <v>3002</v>
      </c>
    </row>
    <row r="200" spans="2:6" s="4645" customFormat="1" ht="15.6">
      <c r="B200" s="6470" t="s">
        <v>3003</v>
      </c>
      <c r="C200" s="6470"/>
      <c r="D200" s="6470"/>
      <c r="E200" s="6470"/>
      <c r="F200" s="6470"/>
    </row>
    <row r="201" spans="2:6" ht="15.6">
      <c r="B201" s="6470" t="s">
        <v>3004</v>
      </c>
      <c r="C201" s="6470"/>
      <c r="D201" s="6470"/>
      <c r="E201" s="6470"/>
      <c r="F201" s="6470"/>
    </row>
    <row r="202" spans="2:6" ht="15.6">
      <c r="B202" s="6468" t="s">
        <v>3005</v>
      </c>
      <c r="C202" s="6468"/>
      <c r="D202" s="6468"/>
      <c r="E202" s="6468"/>
      <c r="F202" s="6468"/>
    </row>
    <row r="203" spans="2:6" ht="15.6">
      <c r="B203" s="6470" t="s">
        <v>3006</v>
      </c>
      <c r="C203" s="6470"/>
      <c r="D203" s="6470"/>
      <c r="E203" s="6470"/>
      <c r="F203" s="6470"/>
    </row>
    <row r="204" spans="2:6" ht="15.6">
      <c r="B204" s="6470" t="s">
        <v>3007</v>
      </c>
      <c r="C204" s="6470"/>
      <c r="D204" s="6470"/>
      <c r="E204" s="6470"/>
      <c r="F204" s="6470"/>
    </row>
    <row r="205" spans="2:6" ht="15.6">
      <c r="B205" s="6475" t="s">
        <v>3008</v>
      </c>
      <c r="C205" s="6475"/>
      <c r="D205" s="6475"/>
      <c r="E205" s="6475"/>
      <c r="F205" s="6475"/>
    </row>
    <row r="207" spans="2:6" ht="15.6">
      <c r="B207" s="4615" t="s">
        <v>3009</v>
      </c>
    </row>
    <row r="208" spans="2:6" ht="15.6">
      <c r="B208" s="6468" t="s">
        <v>3010</v>
      </c>
      <c r="C208" s="6468"/>
      <c r="D208" s="6468"/>
      <c r="E208" s="6468"/>
      <c r="F208" s="6468"/>
    </row>
    <row r="209" spans="2:6" ht="15.6">
      <c r="B209" s="6468" t="s">
        <v>3011</v>
      </c>
      <c r="C209" s="6468"/>
      <c r="D209" s="6468"/>
      <c r="E209" s="6468"/>
      <c r="F209" s="6468"/>
    </row>
    <row r="210" spans="2:6" ht="15.6">
      <c r="B210" s="4615" t="s">
        <v>3012</v>
      </c>
      <c r="C210" s="4642"/>
      <c r="D210" s="4642"/>
      <c r="E210" s="4642"/>
      <c r="F210" s="4642"/>
    </row>
    <row r="211" spans="2:6" ht="15.6">
      <c r="B211" s="6470" t="s">
        <v>3013</v>
      </c>
      <c r="C211" s="6470"/>
      <c r="D211" s="6470"/>
      <c r="E211" s="6470"/>
      <c r="F211" s="6470"/>
    </row>
    <row r="212" spans="2:6" s="4614" customFormat="1" ht="15.6">
      <c r="B212" s="4614" t="s">
        <v>3014</v>
      </c>
    </row>
    <row r="213" spans="2:6" ht="15.6">
      <c r="B213" s="6470" t="s">
        <v>3015</v>
      </c>
      <c r="C213" s="6470"/>
      <c r="D213" s="6470"/>
      <c r="E213" s="6470"/>
      <c r="F213" s="6470"/>
    </row>
    <row r="214" spans="2:6" ht="15.6">
      <c r="B214" s="6470" t="s">
        <v>3016</v>
      </c>
      <c r="C214" s="6470"/>
      <c r="D214" s="6470"/>
      <c r="E214" s="6470"/>
      <c r="F214" s="6470"/>
    </row>
    <row r="215" spans="2:6" ht="15.6">
      <c r="B215" s="6470" t="s">
        <v>3017</v>
      </c>
      <c r="C215" s="6470"/>
      <c r="D215" s="6470"/>
      <c r="E215" s="6470"/>
      <c r="F215" s="6470"/>
    </row>
    <row r="216" spans="2:6" s="4614" customFormat="1" ht="15.6">
      <c r="B216" s="4614" t="s">
        <v>3018</v>
      </c>
    </row>
    <row r="217" spans="2:6" ht="15.6">
      <c r="B217" s="6470" t="s">
        <v>3019</v>
      </c>
      <c r="C217" s="6470"/>
      <c r="D217" s="6470"/>
      <c r="E217" s="6470"/>
      <c r="F217" s="6470"/>
    </row>
    <row r="218" spans="2:6" ht="15.6">
      <c r="B218" s="6470" t="s">
        <v>3020</v>
      </c>
      <c r="C218" s="6470"/>
      <c r="D218" s="6470"/>
      <c r="E218" s="6470"/>
      <c r="F218" s="6470"/>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082" t="s">
        <v>230</v>
      </c>
      <c r="B1" s="6082"/>
      <c r="C1" s="6082"/>
      <c r="D1" s="6082"/>
      <c r="E1" s="6082"/>
      <c r="F1" s="6082"/>
      <c r="G1" s="6082"/>
      <c r="H1" s="6082"/>
      <c r="I1" s="6082"/>
      <c r="J1" s="6082"/>
      <c r="K1" s="6082"/>
    </row>
    <row r="2" spans="1:26">
      <c r="A2" s="6083" t="s">
        <v>232</v>
      </c>
      <c r="B2" s="6083"/>
      <c r="C2" s="6083"/>
      <c r="D2" s="6083"/>
      <c r="E2" s="6083"/>
      <c r="F2" s="6083"/>
      <c r="G2" s="6083"/>
      <c r="H2" s="6083"/>
      <c r="I2" s="6083"/>
      <c r="J2" s="6083"/>
      <c r="K2" s="6083"/>
    </row>
    <row r="3" spans="1:26">
      <c r="A3" s="6084"/>
      <c r="B3" s="6084"/>
      <c r="C3" s="6084"/>
      <c r="D3" s="6084"/>
      <c r="E3" s="6084"/>
      <c r="F3" s="6084"/>
      <c r="G3" s="6084"/>
      <c r="H3" s="6084"/>
      <c r="I3" s="6084"/>
      <c r="J3" s="6084"/>
      <c r="K3" s="6084"/>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085" t="s">
        <v>200</v>
      </c>
      <c r="B6" s="6087" t="s">
        <v>201</v>
      </c>
      <c r="C6" s="6080" t="s">
        <v>219</v>
      </c>
      <c r="D6" s="6080"/>
      <c r="E6" s="6080"/>
      <c r="F6" s="6080" t="s">
        <v>223</v>
      </c>
      <c r="G6" s="6080"/>
      <c r="H6" s="6080"/>
      <c r="I6" s="6080" t="s">
        <v>224</v>
      </c>
      <c r="J6" s="6080"/>
      <c r="K6" s="6080"/>
      <c r="L6" s="6080" t="s">
        <v>225</v>
      </c>
      <c r="M6" s="6080"/>
      <c r="N6" s="6080"/>
      <c r="O6" s="6080" t="s">
        <v>226</v>
      </c>
      <c r="P6" s="6080"/>
      <c r="Q6" s="6080"/>
      <c r="R6" s="6080" t="s">
        <v>227</v>
      </c>
      <c r="S6" s="6080"/>
      <c r="T6" s="6080"/>
      <c r="U6" s="6080" t="s">
        <v>228</v>
      </c>
      <c r="V6" s="6080"/>
      <c r="W6" s="6080"/>
      <c r="X6" s="6080" t="s">
        <v>229</v>
      </c>
      <c r="Y6" s="6080"/>
      <c r="Z6" s="6081"/>
    </row>
    <row r="7" spans="1:26">
      <c r="A7" s="6086"/>
      <c r="B7" s="6088"/>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082" t="s">
        <v>304</v>
      </c>
      <c r="G69" s="6082"/>
      <c r="H69" s="6082"/>
      <c r="I69" s="6082" t="s">
        <v>297</v>
      </c>
      <c r="J69" s="6082"/>
      <c r="K69" s="6082"/>
      <c r="L69" s="6082" t="s">
        <v>299</v>
      </c>
      <c r="M69" s="6082"/>
      <c r="N69" s="6082"/>
      <c r="O69" s="6082" t="s">
        <v>300</v>
      </c>
      <c r="P69" s="6082"/>
      <c r="Q69" s="6082"/>
      <c r="R69" s="6082" t="s">
        <v>301</v>
      </c>
      <c r="S69" s="6082"/>
      <c r="T69" s="6082"/>
      <c r="U69" s="6082" t="s">
        <v>302</v>
      </c>
      <c r="V69" s="6082"/>
      <c r="W69" s="6082"/>
      <c r="X69" s="6082" t="s">
        <v>303</v>
      </c>
      <c r="Y69" s="6082"/>
      <c r="Z69" s="6082"/>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135" t="s">
        <v>3023</v>
      </c>
      <c r="B1" s="6135"/>
      <c r="C1" s="6135"/>
      <c r="D1" s="6135"/>
      <c r="E1" s="6135"/>
    </row>
    <row r="3" spans="1:5" ht="111" customHeight="1">
      <c r="A3" s="3036" t="s">
        <v>247</v>
      </c>
      <c r="B3" s="1383" t="s">
        <v>248</v>
      </c>
      <c r="C3" s="1383" t="s">
        <v>3024</v>
      </c>
      <c r="D3" s="1383" t="s">
        <v>3025</v>
      </c>
      <c r="E3" s="1383" t="s">
        <v>3026</v>
      </c>
    </row>
    <row r="4" spans="1:5" ht="15.6">
      <c r="A4" s="1383">
        <v>1</v>
      </c>
      <c r="B4" s="1383">
        <v>2</v>
      </c>
      <c r="C4" s="1383">
        <v>3</v>
      </c>
      <c r="D4" s="1383">
        <v>4</v>
      </c>
      <c r="E4" s="1383" t="s">
        <v>3027</v>
      </c>
    </row>
    <row r="5" spans="1:5" s="2423" customFormat="1" ht="15.6">
      <c r="A5" s="2847"/>
      <c r="B5" s="2847" t="s">
        <v>3028</v>
      </c>
      <c r="C5" s="4651">
        <f>SUM(C6,C13,C36,C37,C38,C39)</f>
        <v>12613289</v>
      </c>
      <c r="D5" s="4651">
        <f>SUM(D6,D13,D36,D37,D38,D39)</f>
        <v>12792680</v>
      </c>
      <c r="E5" s="4651">
        <f>D5-C5</f>
        <v>179391</v>
      </c>
    </row>
    <row r="6" spans="1:5" s="4655" customFormat="1" ht="15.6">
      <c r="A6" s="4652" t="s">
        <v>1</v>
      </c>
      <c r="B6" s="4653" t="s">
        <v>208</v>
      </c>
      <c r="C6" s="4654">
        <f>SUM(C7,C10,C11,C12)</f>
        <v>3313757</v>
      </c>
      <c r="D6" s="4654">
        <f>SUM(D7,D10,D11,D12)</f>
        <v>3374957</v>
      </c>
      <c r="E6" s="4654">
        <f t="shared" ref="E6:E41" si="0">D6-C6</f>
        <v>61200</v>
      </c>
    </row>
    <row r="7" spans="1:5" s="2423" customFormat="1" ht="15.6">
      <c r="A7" s="2850" t="s">
        <v>3</v>
      </c>
      <c r="B7" s="2855" t="s">
        <v>3029</v>
      </c>
      <c r="C7" s="4656">
        <f>951580+23400</f>
        <v>974980</v>
      </c>
      <c r="D7" s="4656">
        <f>1036180</f>
        <v>1036180</v>
      </c>
      <c r="E7" s="4656">
        <f t="shared" si="0"/>
        <v>61200</v>
      </c>
    </row>
    <row r="8" spans="1:5" s="4659" customFormat="1" ht="15.6">
      <c r="A8" s="748"/>
      <c r="B8" s="4657" t="s">
        <v>234</v>
      </c>
      <c r="C8" s="4658"/>
      <c r="D8" s="4658"/>
      <c r="E8" s="4658"/>
    </row>
    <row r="9" spans="1:5" s="4659" customFormat="1" ht="15.6">
      <c r="A9" s="748"/>
      <c r="B9" s="4660" t="s">
        <v>3030</v>
      </c>
      <c r="C9" s="4658">
        <v>23400</v>
      </c>
      <c r="D9" s="4658">
        <f>23400+61200</f>
        <v>84600</v>
      </c>
      <c r="E9" s="4658">
        <f t="shared" si="0"/>
        <v>61200</v>
      </c>
    </row>
    <row r="10" spans="1:5" s="2423" customFormat="1" ht="15.6">
      <c r="A10" s="2850" t="s">
        <v>33</v>
      </c>
      <c r="B10" s="2855" t="s">
        <v>144</v>
      </c>
      <c r="C10" s="4656">
        <v>800000</v>
      </c>
      <c r="D10" s="4656">
        <v>800000</v>
      </c>
      <c r="E10" s="4656">
        <f t="shared" si="0"/>
        <v>0</v>
      </c>
    </row>
    <row r="11" spans="1:5" s="2423" customFormat="1" ht="15.6">
      <c r="A11" s="2850" t="s">
        <v>182</v>
      </c>
      <c r="B11" s="2855" t="s">
        <v>3031</v>
      </c>
      <c r="C11" s="4656">
        <v>1500000</v>
      </c>
      <c r="D11" s="4656">
        <v>1500000</v>
      </c>
      <c r="E11" s="4656">
        <f t="shared" si="0"/>
        <v>0</v>
      </c>
    </row>
    <row r="12" spans="1:5" s="2423" customFormat="1" ht="15.6">
      <c r="A12" s="2850" t="s">
        <v>215</v>
      </c>
      <c r="B12" s="2857" t="s">
        <v>1919</v>
      </c>
      <c r="C12" s="4656">
        <v>38777</v>
      </c>
      <c r="D12" s="4656">
        <v>38777</v>
      </c>
      <c r="E12" s="4656">
        <f t="shared" si="0"/>
        <v>0</v>
      </c>
    </row>
    <row r="13" spans="1:5" s="4655" customFormat="1" ht="15.6">
      <c r="A13" s="4652" t="s">
        <v>37</v>
      </c>
      <c r="B13" s="4653" t="s">
        <v>209</v>
      </c>
      <c r="C13" s="4654">
        <f>SUM(C15,C22,C23)</f>
        <v>9045866</v>
      </c>
      <c r="D13" s="4654">
        <f>SUM(D15,D22,D23)</f>
        <v>9140657</v>
      </c>
      <c r="E13" s="4654">
        <f>D13-C13</f>
        <v>94791</v>
      </c>
    </row>
    <row r="14" spans="1:5" ht="15.6">
      <c r="A14" s="4661"/>
      <c r="B14" s="2851" t="s">
        <v>822</v>
      </c>
      <c r="C14" s="4662"/>
      <c r="D14" s="4662"/>
      <c r="E14" s="4662">
        <f t="shared" si="0"/>
        <v>0</v>
      </c>
    </row>
    <row r="15" spans="1:5" s="2423" customFormat="1" ht="15.6">
      <c r="A15" s="2850" t="s">
        <v>3</v>
      </c>
      <c r="B15" s="2855" t="s">
        <v>3032</v>
      </c>
      <c r="C15" s="4656">
        <f>SUM(C16:C17)</f>
        <v>4090257</v>
      </c>
      <c r="D15" s="4656">
        <f>SUM(D16:D17)</f>
        <v>4090257</v>
      </c>
      <c r="E15" s="4656">
        <f t="shared" si="0"/>
        <v>0</v>
      </c>
    </row>
    <row r="16" spans="1:5" ht="15.6">
      <c r="A16" s="4435">
        <v>1</v>
      </c>
      <c r="B16" s="2851" t="s">
        <v>3033</v>
      </c>
      <c r="C16" s="4662">
        <v>4090257</v>
      </c>
      <c r="D16" s="4662">
        <v>4090257</v>
      </c>
      <c r="E16" s="4662">
        <f t="shared" si="0"/>
        <v>0</v>
      </c>
    </row>
    <row r="17" spans="1:5" ht="15.6">
      <c r="A17" s="4435">
        <v>2</v>
      </c>
      <c r="B17" s="2851" t="s">
        <v>3034</v>
      </c>
      <c r="C17" s="4662">
        <f>SUM(C18:C21)</f>
        <v>0</v>
      </c>
      <c r="D17" s="4662">
        <f>SUM(D18:D21)</f>
        <v>0</v>
      </c>
      <c r="E17" s="4662">
        <f t="shared" si="0"/>
        <v>0</v>
      </c>
    </row>
    <row r="18" spans="1:5" s="4659" customFormat="1" ht="46.8">
      <c r="A18" s="748" t="s">
        <v>99</v>
      </c>
      <c r="B18" s="4657" t="s">
        <v>3035</v>
      </c>
      <c r="C18" s="4658"/>
      <c r="D18" s="4658"/>
      <c r="E18" s="4658">
        <f t="shared" si="0"/>
        <v>0</v>
      </c>
    </row>
    <row r="19" spans="1:5" s="4659" customFormat="1" ht="15.6">
      <c r="A19" s="748" t="s">
        <v>101</v>
      </c>
      <c r="B19" s="4657" t="s">
        <v>3036</v>
      </c>
      <c r="C19" s="4658"/>
      <c r="D19" s="4658"/>
      <c r="E19" s="4658">
        <f t="shared" si="0"/>
        <v>0</v>
      </c>
    </row>
    <row r="20" spans="1:5" s="4659" customFormat="1" ht="15.6">
      <c r="A20" s="748" t="s">
        <v>147</v>
      </c>
      <c r="B20" s="4657" t="s">
        <v>3037</v>
      </c>
      <c r="C20" s="4658"/>
      <c r="D20" s="4658"/>
      <c r="E20" s="4658">
        <f t="shared" si="0"/>
        <v>0</v>
      </c>
    </row>
    <row r="21" spans="1:5" s="4659" customFormat="1" ht="31.2">
      <c r="A21" s="748" t="s">
        <v>148</v>
      </c>
      <c r="B21" s="4657" t="s">
        <v>3038</v>
      </c>
      <c r="C21" s="4658"/>
      <c r="D21" s="4658"/>
      <c r="E21" s="4658">
        <f t="shared" si="0"/>
        <v>0</v>
      </c>
    </row>
    <row r="22" spans="1:5" s="2423" customFormat="1" ht="15.6">
      <c r="A22" s="2850" t="s">
        <v>33</v>
      </c>
      <c r="B22" s="2855" t="s">
        <v>720</v>
      </c>
      <c r="C22" s="4656">
        <f>27026</f>
        <v>27026</v>
      </c>
      <c r="D22" s="4656">
        <v>31000</v>
      </c>
      <c r="E22" s="4656">
        <f t="shared" si="0"/>
        <v>3974</v>
      </c>
    </row>
    <row r="23" spans="1:5" s="2423" customFormat="1" ht="15.6">
      <c r="A23" s="2850" t="s">
        <v>182</v>
      </c>
      <c r="B23" s="2855" t="s">
        <v>740</v>
      </c>
      <c r="C23" s="4656">
        <f>SUM(C24,C25,C32)</f>
        <v>4928583</v>
      </c>
      <c r="D23" s="4656">
        <f>SUM(D24,D25,D32)</f>
        <v>5019400</v>
      </c>
      <c r="E23" s="4656">
        <f>D23-C23</f>
        <v>90817</v>
      </c>
    </row>
    <row r="24" spans="1:5" ht="15.6">
      <c r="A24" s="4435">
        <v>1</v>
      </c>
      <c r="B24" s="2851" t="s">
        <v>3033</v>
      </c>
      <c r="C24" s="4662">
        <f>9045866-C16-C22</f>
        <v>4928583</v>
      </c>
      <c r="D24" s="4662">
        <f>9140657-D16-D22</f>
        <v>5019400</v>
      </c>
      <c r="E24" s="4662">
        <f t="shared" si="0"/>
        <v>90817</v>
      </c>
    </row>
    <row r="25" spans="1:5" ht="15.6">
      <c r="A25" s="4435">
        <v>2</v>
      </c>
      <c r="B25" s="2851" t="s">
        <v>3034</v>
      </c>
      <c r="C25" s="4662">
        <f>SUM(C26:C35)</f>
        <v>0</v>
      </c>
      <c r="D25" s="4662">
        <f>SUM(D26:D35)</f>
        <v>0</v>
      </c>
      <c r="E25" s="4662">
        <f>SUM(E26:E35)</f>
        <v>0</v>
      </c>
    </row>
    <row r="26" spans="1:5" s="4659" customFormat="1" ht="15.6">
      <c r="A26" s="748" t="s">
        <v>99</v>
      </c>
      <c r="B26" s="4663" t="s">
        <v>3039</v>
      </c>
      <c r="C26" s="4658"/>
      <c r="D26" s="4658"/>
      <c r="E26" s="4658">
        <f t="shared" si="0"/>
        <v>0</v>
      </c>
    </row>
    <row r="27" spans="1:5" s="4659" customFormat="1" ht="41.4">
      <c r="A27" s="748" t="s">
        <v>101</v>
      </c>
      <c r="B27" s="4663" t="s">
        <v>3040</v>
      </c>
      <c r="C27" s="4658"/>
      <c r="D27" s="4658"/>
      <c r="E27" s="4658">
        <f t="shared" si="0"/>
        <v>0</v>
      </c>
    </row>
    <row r="28" spans="1:5" s="4659" customFormat="1" ht="41.4">
      <c r="A28" s="748" t="s">
        <v>147</v>
      </c>
      <c r="B28" s="4663" t="s">
        <v>3041</v>
      </c>
      <c r="C28" s="4658"/>
      <c r="D28" s="4658"/>
      <c r="E28" s="4658">
        <f t="shared" si="0"/>
        <v>0</v>
      </c>
    </row>
    <row r="29" spans="1:5" s="4659" customFormat="1" ht="15.6">
      <c r="A29" s="748" t="s">
        <v>148</v>
      </c>
      <c r="B29" s="4663" t="s">
        <v>3042</v>
      </c>
      <c r="C29" s="4658"/>
      <c r="D29" s="4658"/>
      <c r="E29" s="4658">
        <f t="shared" si="0"/>
        <v>0</v>
      </c>
    </row>
    <row r="30" spans="1:5" s="4659" customFormat="1" ht="15.6">
      <c r="A30" s="748" t="s">
        <v>157</v>
      </c>
      <c r="B30" s="4663" t="s">
        <v>3043</v>
      </c>
      <c r="C30" s="4658"/>
      <c r="D30" s="4658"/>
      <c r="E30" s="4658">
        <f t="shared" si="0"/>
        <v>0</v>
      </c>
    </row>
    <row r="31" spans="1:5" s="4659" customFormat="1" ht="15.6">
      <c r="A31" s="748" t="s">
        <v>1688</v>
      </c>
      <c r="B31" s="4663" t="s">
        <v>3044</v>
      </c>
      <c r="C31" s="4658"/>
      <c r="D31" s="4658"/>
      <c r="E31" s="4658">
        <f t="shared" si="0"/>
        <v>0</v>
      </c>
    </row>
    <row r="32" spans="1:5" ht="15.6">
      <c r="A32" s="4435"/>
      <c r="B32" s="2851"/>
      <c r="C32" s="4662"/>
      <c r="D32" s="4662"/>
      <c r="E32" s="4658">
        <f t="shared" si="0"/>
        <v>0</v>
      </c>
    </row>
    <row r="33" spans="1:5" s="4659" customFormat="1" ht="15.6">
      <c r="A33" s="748"/>
      <c r="B33" s="4657"/>
      <c r="C33" s="4658"/>
      <c r="D33" s="4658"/>
      <c r="E33" s="4658">
        <f t="shared" si="0"/>
        <v>0</v>
      </c>
    </row>
    <row r="34" spans="1:5" s="4659" customFormat="1" ht="15.6">
      <c r="A34" s="748"/>
      <c r="B34" s="4657"/>
      <c r="C34" s="4658"/>
      <c r="D34" s="4658"/>
      <c r="E34" s="4658">
        <f t="shared" si="0"/>
        <v>0</v>
      </c>
    </row>
    <row r="35" spans="1:5" s="4659" customFormat="1" ht="15.6">
      <c r="A35" s="748"/>
      <c r="B35" s="4657"/>
      <c r="C35" s="4658"/>
      <c r="D35" s="4658"/>
      <c r="E35" s="4658">
        <f t="shared" si="0"/>
        <v>0</v>
      </c>
    </row>
    <row r="36" spans="1:5" s="2423" customFormat="1" ht="15.6">
      <c r="A36" s="2850" t="s">
        <v>44</v>
      </c>
      <c r="B36" s="2855" t="s">
        <v>3045</v>
      </c>
      <c r="C36" s="4656">
        <v>0</v>
      </c>
      <c r="D36" s="4656">
        <v>2000</v>
      </c>
      <c r="E36" s="4656">
        <f t="shared" si="0"/>
        <v>2000</v>
      </c>
    </row>
    <row r="37" spans="1:5" s="2423" customFormat="1" ht="15.6">
      <c r="A37" s="2850" t="s">
        <v>46</v>
      </c>
      <c r="B37" s="2855" t="s">
        <v>3046</v>
      </c>
      <c r="C37" s="4656">
        <v>1400</v>
      </c>
      <c r="D37" s="4656">
        <v>2000</v>
      </c>
      <c r="E37" s="4656">
        <f t="shared" si="0"/>
        <v>600</v>
      </c>
    </row>
    <row r="38" spans="1:5" s="2423" customFormat="1" ht="15.6">
      <c r="A38" s="2850" t="s">
        <v>725</v>
      </c>
      <c r="B38" s="2855" t="s">
        <v>3047</v>
      </c>
      <c r="C38" s="4656"/>
      <c r="D38" s="4656"/>
      <c r="E38" s="4656">
        <f t="shared" si="0"/>
        <v>0</v>
      </c>
    </row>
    <row r="39" spans="1:5" s="2423" customFormat="1" ht="15.6">
      <c r="A39" s="2850" t="s">
        <v>3048</v>
      </c>
      <c r="B39" s="2855" t="s">
        <v>175</v>
      </c>
      <c r="C39" s="4656">
        <f>SUM(C40:C41)</f>
        <v>252266</v>
      </c>
      <c r="D39" s="4656">
        <f>SUM(D40:D41)</f>
        <v>273066</v>
      </c>
      <c r="E39" s="4656">
        <f t="shared" si="0"/>
        <v>20800</v>
      </c>
    </row>
    <row r="40" spans="1:5" s="1192" customFormat="1" ht="15.6">
      <c r="A40" s="4435">
        <v>1</v>
      </c>
      <c r="B40" s="2851" t="s">
        <v>3033</v>
      </c>
      <c r="C40" s="4664">
        <v>252266</v>
      </c>
      <c r="D40" s="4664">
        <v>273066</v>
      </c>
      <c r="E40" s="4664">
        <f t="shared" si="0"/>
        <v>20800</v>
      </c>
    </row>
    <row r="41" spans="1:5" s="1192" customFormat="1" ht="15.6">
      <c r="A41" s="4435">
        <v>2</v>
      </c>
      <c r="B41" s="2851" t="s">
        <v>3049</v>
      </c>
      <c r="C41" s="4664"/>
      <c r="D41" s="4664"/>
      <c r="E41" s="4664">
        <f t="shared" si="0"/>
        <v>0</v>
      </c>
    </row>
    <row r="42" spans="1:5" s="4659" customFormat="1" ht="15.6">
      <c r="A42" s="4665"/>
      <c r="B42" s="4666"/>
      <c r="C42" s="4667"/>
      <c r="D42" s="4667"/>
      <c r="E42" s="4667"/>
    </row>
    <row r="43" spans="1:5" ht="15.6">
      <c r="A43" s="2423" t="s">
        <v>1717</v>
      </c>
    </row>
    <row r="44" spans="1:5" ht="29.25" customHeight="1">
      <c r="B44" s="4668" t="s">
        <v>3050</v>
      </c>
      <c r="C44" s="4669">
        <v>1036180</v>
      </c>
    </row>
    <row r="45" spans="1:5" ht="15.6">
      <c r="B45" s="1192" t="s">
        <v>3051</v>
      </c>
      <c r="C45" s="4670">
        <f>C44-C7</f>
        <v>61200</v>
      </c>
    </row>
    <row r="47" spans="1:5">
      <c r="C47" s="4670"/>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71" customWidth="1"/>
    <col min="2" max="2" width="48.5546875" style="4672" customWidth="1"/>
    <col min="3" max="3" width="16.33203125" style="4673" customWidth="1"/>
    <col min="4" max="4" width="33.88671875" style="4675" customWidth="1"/>
    <col min="5" max="6" width="10.5546875" style="4675"/>
    <col min="7" max="8" width="21.109375" style="4675" customWidth="1"/>
    <col min="9" max="16384" width="10.5546875" style="4675"/>
  </cols>
  <sheetData>
    <row r="1" spans="1:15" ht="31.2">
      <c r="D1" s="4674" t="s">
        <v>3052</v>
      </c>
      <c r="F1" s="4676" t="s">
        <v>3053</v>
      </c>
      <c r="G1" s="4676">
        <v>60</v>
      </c>
    </row>
    <row r="2" spans="1:15">
      <c r="A2" s="6480" t="s">
        <v>3054</v>
      </c>
      <c r="B2" s="6480"/>
      <c r="C2" s="6480"/>
      <c r="D2" s="6480"/>
    </row>
    <row r="3" spans="1:15" s="4677" customFormat="1" ht="18" customHeight="1">
      <c r="A3" s="6480" t="s">
        <v>3055</v>
      </c>
      <c r="B3" s="6480"/>
      <c r="C3" s="6480"/>
      <c r="D3" s="6480"/>
    </row>
    <row r="4" spans="1:15" s="4677" customFormat="1" ht="18" customHeight="1">
      <c r="A4" s="4671"/>
      <c r="B4" s="4678"/>
      <c r="C4" s="4679"/>
    </row>
    <row r="5" spans="1:15" s="4677" customFormat="1">
      <c r="A5" s="4680" t="s">
        <v>247</v>
      </c>
      <c r="B5" s="4681" t="s">
        <v>1123</v>
      </c>
      <c r="C5" s="4681" t="s">
        <v>59</v>
      </c>
      <c r="D5" s="4682" t="s">
        <v>861</v>
      </c>
      <c r="G5" s="4677" t="s">
        <v>3056</v>
      </c>
    </row>
    <row r="6" spans="1:15" s="4677" customFormat="1">
      <c r="A6" s="4683">
        <v>1</v>
      </c>
      <c r="B6" s="4684">
        <f>+A6+1</f>
        <v>2</v>
      </c>
      <c r="C6" s="4684">
        <f>+B6+1</f>
        <v>3</v>
      </c>
      <c r="D6" s="4683">
        <f>+C6+1</f>
        <v>4</v>
      </c>
      <c r="H6" s="4677" t="s">
        <v>3057</v>
      </c>
      <c r="I6" s="4677" t="s">
        <v>3058</v>
      </c>
    </row>
    <row r="7" spans="1:15" s="4677" customFormat="1">
      <c r="A7" s="4685" t="s">
        <v>1</v>
      </c>
      <c r="B7" s="4686" t="s">
        <v>3059</v>
      </c>
      <c r="C7" s="4687">
        <f>+C10+C13</f>
        <v>8593985.0258779023</v>
      </c>
      <c r="D7" s="4688"/>
      <c r="F7" s="4689">
        <f>+C7-C8-C9</f>
        <v>4813812.7888039034</v>
      </c>
      <c r="H7" s="4690">
        <v>0.67173634842284391</v>
      </c>
      <c r="I7" s="4690">
        <v>0</v>
      </c>
    </row>
    <row r="8" spans="1:15" s="4677" customFormat="1">
      <c r="A8" s="4691"/>
      <c r="B8" s="4692" t="s">
        <v>3060</v>
      </c>
      <c r="C8" s="4693">
        <f>C11+C17+C20+C23</f>
        <v>3753146.2370739989</v>
      </c>
      <c r="D8" s="4691"/>
    </row>
    <row r="9" spans="1:15" s="4677" customFormat="1">
      <c r="A9" s="4691"/>
      <c r="B9" s="4694" t="s">
        <v>3061</v>
      </c>
      <c r="C9" s="4693">
        <f>C12+C15+C18+C21</f>
        <v>27026</v>
      </c>
      <c r="D9" s="4691"/>
      <c r="G9" s="4689">
        <f>+C7-C8-C9</f>
        <v>4813812.7888039034</v>
      </c>
    </row>
    <row r="10" spans="1:15" s="4677" customFormat="1">
      <c r="A10" s="4695" t="s">
        <v>3</v>
      </c>
      <c r="B10" s="4696" t="s">
        <v>3062</v>
      </c>
      <c r="C10" s="4697">
        <v>8094524</v>
      </c>
      <c r="D10" s="6477" t="s">
        <v>3063</v>
      </c>
    </row>
    <row r="11" spans="1:15" s="4677" customFormat="1">
      <c r="A11" s="4695"/>
      <c r="B11" s="4692" t="s">
        <v>3060</v>
      </c>
      <c r="C11" s="4698">
        <v>3605724</v>
      </c>
      <c r="D11" s="6481"/>
    </row>
    <row r="12" spans="1:15" s="4677" customFormat="1">
      <c r="A12" s="4695"/>
      <c r="B12" s="4694" t="s">
        <v>3061</v>
      </c>
      <c r="C12" s="4698">
        <v>27026</v>
      </c>
      <c r="D12" s="6478"/>
      <c r="G12" s="4699"/>
      <c r="H12" s="4699"/>
      <c r="I12" s="4699"/>
      <c r="J12" s="4700" t="s">
        <v>3064</v>
      </c>
      <c r="K12" s="4699"/>
      <c r="L12" s="4699"/>
    </row>
    <row r="13" spans="1:15" s="4677" customFormat="1">
      <c r="A13" s="4695" t="s">
        <v>33</v>
      </c>
      <c r="B13" s="4696" t="s">
        <v>3065</v>
      </c>
      <c r="C13" s="4697">
        <f>+C16+C19+C22</f>
        <v>499461.02587790298</v>
      </c>
      <c r="D13" s="4701"/>
      <c r="H13" s="4699" t="s">
        <v>3066</v>
      </c>
      <c r="I13" s="4699" t="s">
        <v>960</v>
      </c>
      <c r="J13" s="4699"/>
      <c r="K13" s="6482" t="s">
        <v>960</v>
      </c>
      <c r="L13" s="6483"/>
    </row>
    <row r="14" spans="1:15" s="4677" customFormat="1">
      <c r="A14" s="4695"/>
      <c r="B14" s="4692" t="s">
        <v>3060</v>
      </c>
      <c r="C14" s="4697">
        <f>+C17+C20+C23</f>
        <v>147422.2370739991</v>
      </c>
      <c r="D14" s="4701"/>
      <c r="H14" s="4699"/>
      <c r="I14" s="4699"/>
      <c r="J14" s="4699"/>
      <c r="K14" s="4699" t="s">
        <v>3067</v>
      </c>
      <c r="L14" s="4699" t="s">
        <v>3058</v>
      </c>
    </row>
    <row r="15" spans="1:15" s="4677" customFormat="1">
      <c r="A15" s="4695"/>
      <c r="B15" s="4694" t="s">
        <v>3061</v>
      </c>
      <c r="C15" s="4697">
        <f>+C18+C21</f>
        <v>0</v>
      </c>
      <c r="D15" s="4701"/>
      <c r="H15" s="4702">
        <v>12352.714285714284</v>
      </c>
      <c r="I15" s="4703">
        <f>+H15</f>
        <v>12352.714285714284</v>
      </c>
      <c r="J15" s="4704"/>
      <c r="K15" s="4703">
        <f>+I15</f>
        <v>12352.714285714284</v>
      </c>
      <c r="L15" s="4704"/>
      <c r="O15" s="4677">
        <v>12</v>
      </c>
    </row>
    <row r="16" spans="1:15" s="4677" customFormat="1">
      <c r="A16" s="4695">
        <v>1</v>
      </c>
      <c r="B16" s="4696" t="s">
        <v>3068</v>
      </c>
      <c r="C16" s="4697">
        <v>203211.71428571429</v>
      </c>
      <c r="D16" s="6477" t="s">
        <v>3069</v>
      </c>
      <c r="H16" s="4705">
        <v>22312</v>
      </c>
      <c r="I16" s="4706">
        <f>+H16</f>
        <v>22312</v>
      </c>
      <c r="J16" s="4707"/>
      <c r="K16" s="4707"/>
      <c r="L16" s="4707"/>
      <c r="O16" s="4677">
        <v>13</v>
      </c>
    </row>
    <row r="17" spans="1:15" s="4677" customFormat="1">
      <c r="A17" s="4708"/>
      <c r="B17" s="4692" t="s">
        <v>3060</v>
      </c>
      <c r="C17" s="4698">
        <f>+I16+I20*H7</f>
        <v>135531.14631762507</v>
      </c>
      <c r="D17" s="6481"/>
      <c r="G17" s="4709" t="s">
        <v>954</v>
      </c>
      <c r="H17" s="4705">
        <v>1152</v>
      </c>
      <c r="I17" s="4706">
        <f>+H17</f>
        <v>1152</v>
      </c>
      <c r="J17" s="4707"/>
      <c r="K17" s="4707"/>
      <c r="L17" s="4707"/>
      <c r="O17" s="4677">
        <v>14</v>
      </c>
    </row>
    <row r="18" spans="1:15" s="4677" customFormat="1">
      <c r="A18" s="4708"/>
      <c r="B18" s="4694" t="s">
        <v>3061</v>
      </c>
      <c r="C18" s="4698">
        <f>+I20*I7</f>
        <v>0</v>
      </c>
      <c r="D18" s="6478"/>
      <c r="G18" s="4709" t="s">
        <v>3070</v>
      </c>
      <c r="H18" s="4705">
        <v>167395</v>
      </c>
      <c r="I18" s="4706">
        <f>+H18</f>
        <v>167395</v>
      </c>
      <c r="J18" s="4707"/>
      <c r="K18" s="4707"/>
      <c r="L18" s="4707"/>
      <c r="O18" s="4677">
        <v>15</v>
      </c>
    </row>
    <row r="19" spans="1:15" s="4677" customFormat="1">
      <c r="A19" s="4695">
        <v>2</v>
      </c>
      <c r="B19" s="4696" t="s">
        <v>3071</v>
      </c>
      <c r="C19" s="4697">
        <v>-58428.800727811293</v>
      </c>
      <c r="D19" s="6476" t="s">
        <v>3069</v>
      </c>
      <c r="G19" s="4709" t="s">
        <v>3072</v>
      </c>
      <c r="H19" s="4710">
        <v>0</v>
      </c>
      <c r="I19" s="4711">
        <f>+H19</f>
        <v>0</v>
      </c>
      <c r="J19" s="4709"/>
      <c r="K19" s="4709"/>
      <c r="L19" s="4709"/>
      <c r="O19" s="4677">
        <v>16</v>
      </c>
    </row>
    <row r="20" spans="1:15" s="4677" customFormat="1">
      <c r="A20" s="4712"/>
      <c r="B20" s="4692" t="s">
        <v>3060</v>
      </c>
      <c r="C20" s="4713">
        <f>+C19*H7</f>
        <v>-39248.749243625964</v>
      </c>
      <c r="D20" s="6476"/>
      <c r="G20" s="4714" t="s">
        <v>3073</v>
      </c>
      <c r="H20" s="4715">
        <f>+H17+H18+H19</f>
        <v>168547</v>
      </c>
      <c r="I20" s="4715">
        <f>+I17+I18+I19</f>
        <v>168547</v>
      </c>
      <c r="J20" s="4714"/>
      <c r="K20" s="4716">
        <f>+I20*H7</f>
        <v>113219.14631762507</v>
      </c>
      <c r="L20" s="4716">
        <f>+I20*I7</f>
        <v>0</v>
      </c>
    </row>
    <row r="21" spans="1:15" s="4677" customFormat="1">
      <c r="A21" s="4712"/>
      <c r="B21" s="4694" t="s">
        <v>3061</v>
      </c>
      <c r="C21" s="4713">
        <f>+C19*I7</f>
        <v>0</v>
      </c>
      <c r="D21" s="6476"/>
    </row>
    <row r="22" spans="1:15" ht="31.5" customHeight="1">
      <c r="A22" s="4695">
        <v>3</v>
      </c>
      <c r="B22" s="4696" t="s">
        <v>3074</v>
      </c>
      <c r="C22" s="4697">
        <v>354678.11232000001</v>
      </c>
      <c r="D22" s="6477" t="s">
        <v>3075</v>
      </c>
    </row>
    <row r="23" spans="1:15" s="4719" customFormat="1" ht="24" customHeight="1">
      <c r="A23" s="4717"/>
      <c r="B23" s="4692" t="s">
        <v>3060</v>
      </c>
      <c r="C23" s="4718">
        <v>51139.839999999997</v>
      </c>
      <c r="D23" s="6478"/>
    </row>
    <row r="24" spans="1:15" s="4719" customFormat="1" ht="24" customHeight="1">
      <c r="A24" s="4720"/>
      <c r="B24" s="4721"/>
      <c r="C24" s="4722"/>
      <c r="D24" s="4720"/>
    </row>
    <row r="25" spans="1:15" s="4719" customFormat="1" ht="34.5" customHeight="1">
      <c r="B25" s="6479"/>
      <c r="C25" s="6479"/>
      <c r="D25" s="6479"/>
    </row>
    <row r="26" spans="1:15" s="4719" customFormat="1" ht="24" customHeight="1">
      <c r="B26" s="4723"/>
      <c r="C26" s="4724"/>
    </row>
    <row r="27" spans="1:15" s="4719" customFormat="1" ht="24" customHeight="1">
      <c r="B27" s="4723"/>
      <c r="C27" s="4724"/>
    </row>
    <row r="28" spans="1:15" s="4719" customFormat="1" ht="24" customHeight="1">
      <c r="B28" s="4723"/>
      <c r="C28" s="4724"/>
    </row>
    <row r="29" spans="1:15" s="4719" customFormat="1" ht="24" customHeight="1">
      <c r="B29" s="4723"/>
      <c r="C29" s="4724"/>
    </row>
    <row r="30" spans="1:15" s="4719" customFormat="1" ht="24" customHeight="1">
      <c r="B30" s="4723"/>
      <c r="C30" s="4724"/>
    </row>
    <row r="31" spans="1:15" s="4719" customFormat="1" ht="24" customHeight="1">
      <c r="B31" s="4723"/>
      <c r="C31" s="4724"/>
    </row>
    <row r="32" spans="1:15" s="4719" customFormat="1" ht="24" customHeight="1">
      <c r="B32" s="4723"/>
      <c r="C32" s="4724"/>
    </row>
    <row r="33" spans="1:5" s="4719" customFormat="1">
      <c r="B33" s="4723"/>
      <c r="C33" s="4724"/>
    </row>
    <row r="34" spans="1:5" s="4719" customFormat="1">
      <c r="B34" s="4723"/>
      <c r="C34" s="4724"/>
    </row>
    <row r="35" spans="1:5" s="4719" customFormat="1">
      <c r="B35" s="4723"/>
      <c r="C35" s="4724"/>
    </row>
    <row r="36" spans="1:5" s="4677" customFormat="1">
      <c r="A36" s="4671"/>
      <c r="B36" s="4678"/>
      <c r="C36" s="4674"/>
    </row>
    <row r="40" spans="1:5" s="4671" customFormat="1">
      <c r="B40" s="4672"/>
      <c r="C40" s="4673"/>
      <c r="D40" s="4675"/>
      <c r="E40" s="4675"/>
    </row>
    <row r="41" spans="1:5" s="4671" customFormat="1">
      <c r="B41" s="4672"/>
      <c r="C41" s="4673"/>
      <c r="D41" s="4675"/>
      <c r="E41" s="4675"/>
    </row>
    <row r="42" spans="1:5" s="4671" customFormat="1">
      <c r="B42" s="4672"/>
      <c r="C42" s="4673"/>
      <c r="D42" s="4675"/>
      <c r="E42" s="4675"/>
    </row>
    <row r="43" spans="1:5" s="4671" customFormat="1">
      <c r="B43" s="4672"/>
      <c r="C43" s="4673"/>
      <c r="D43" s="4675"/>
      <c r="E43" s="4675"/>
    </row>
    <row r="44" spans="1:5" s="4671" customFormat="1">
      <c r="B44" s="4672"/>
      <c r="C44" s="4673"/>
      <c r="D44" s="4675"/>
      <c r="E44" s="4675"/>
    </row>
    <row r="45" spans="1:5" s="4671" customFormat="1">
      <c r="B45" s="4672"/>
      <c r="C45" s="4673"/>
      <c r="D45" s="4675"/>
      <c r="E45" s="4675"/>
    </row>
    <row r="46" spans="1:5" s="4671" customFormat="1">
      <c r="B46" s="4672"/>
      <c r="C46" s="4673"/>
      <c r="D46" s="4675"/>
      <c r="E46" s="4675"/>
    </row>
    <row r="47" spans="1:5" s="4671" customFormat="1">
      <c r="B47" s="4672"/>
      <c r="C47" s="4673"/>
      <c r="D47" s="4675"/>
      <c r="E47" s="4675"/>
    </row>
    <row r="48" spans="1:5" s="4671" customFormat="1">
      <c r="B48" s="4672"/>
      <c r="C48" s="4673"/>
      <c r="D48" s="4675"/>
      <c r="E48" s="4675"/>
    </row>
    <row r="49" spans="2:7" s="4671" customFormat="1">
      <c r="B49" s="4672"/>
      <c r="C49" s="4673"/>
      <c r="D49" s="4675"/>
      <c r="E49" s="4675"/>
    </row>
    <row r="50" spans="2:7" s="4671" customFormat="1">
      <c r="B50" s="4672"/>
      <c r="C50" s="4673"/>
      <c r="D50" s="4675"/>
      <c r="E50" s="4675"/>
    </row>
    <row r="51" spans="2:7" s="4671" customFormat="1">
      <c r="B51" s="4672"/>
      <c r="C51" s="4673"/>
      <c r="D51" s="4675"/>
      <c r="E51" s="4675"/>
    </row>
    <row r="52" spans="2:7" s="4671" customFormat="1">
      <c r="B52" s="4672"/>
      <c r="C52" s="4673"/>
      <c r="D52" s="4675"/>
      <c r="E52" s="4675"/>
    </row>
    <row r="53" spans="2:7" s="4671" customFormat="1">
      <c r="B53" s="4672"/>
      <c r="C53" s="4673"/>
      <c r="D53" s="4675"/>
      <c r="E53" s="4675"/>
    </row>
    <row r="54" spans="2:7" s="4671" customFormat="1">
      <c r="B54" s="4672"/>
      <c r="C54" s="4673"/>
      <c r="D54" s="4675"/>
      <c r="E54" s="4675"/>
    </row>
    <row r="55" spans="2:7" s="4671" customFormat="1">
      <c r="B55" s="4672"/>
      <c r="C55" s="4673"/>
      <c r="D55" s="4675"/>
      <c r="E55" s="4675"/>
    </row>
    <row r="57" spans="2:7">
      <c r="D57" s="4675" t="e">
        <f>+#REF!*C57*12*1.21+0.14*1.21*12*#REF!*22</f>
        <v>#REF!</v>
      </c>
    </row>
    <row r="58" spans="2:7">
      <c r="D58" s="4675" t="e">
        <f>+#REF!*C58*12*1.21+0.14*1.21*12*#REF!*20</f>
        <v>#REF!</v>
      </c>
    </row>
    <row r="59" spans="2:7">
      <c r="D59" s="4675" t="e">
        <f>+#REF!*C59*12*1.21+0.14*1.21*12*#REF!*19</f>
        <v>#REF!</v>
      </c>
    </row>
    <row r="62" spans="2:7">
      <c r="G62" s="4671"/>
    </row>
    <row r="63" spans="2:7">
      <c r="G63" s="4671"/>
    </row>
    <row r="64" spans="2:7">
      <c r="G64" s="4671"/>
    </row>
    <row r="65" spans="2:7">
      <c r="G65" s="4671"/>
    </row>
    <row r="72" spans="2:7" s="4671" customFormat="1">
      <c r="B72" s="4672"/>
      <c r="C72" s="4673"/>
      <c r="D72" s="4675"/>
      <c r="E72" s="4675"/>
    </row>
    <row r="73" spans="2:7" s="4671" customFormat="1">
      <c r="B73" s="4672"/>
      <c r="C73" s="4673"/>
      <c r="D73" s="4675"/>
      <c r="E73" s="4675"/>
    </row>
    <row r="74" spans="2:7" s="4671" customFormat="1">
      <c r="B74" s="4672"/>
      <c r="C74" s="4673"/>
      <c r="D74" s="4675"/>
      <c r="E74" s="4675"/>
    </row>
    <row r="75" spans="2:7" s="4671" customFormat="1">
      <c r="B75" s="4672"/>
      <c r="C75" s="4673"/>
      <c r="D75" s="4675"/>
      <c r="E75" s="4675"/>
    </row>
    <row r="76" spans="2:7" s="4671" customFormat="1">
      <c r="B76" s="4672"/>
      <c r="C76" s="4673"/>
      <c r="D76" s="4675"/>
      <c r="E76" s="4675"/>
    </row>
    <row r="77" spans="2:7" s="4671" customFormat="1">
      <c r="B77" s="4672"/>
      <c r="C77" s="4673"/>
      <c r="D77" s="4675"/>
      <c r="E77" s="4675"/>
    </row>
    <row r="78" spans="2:7" s="4671" customFormat="1">
      <c r="B78" s="4672"/>
      <c r="C78" s="4673"/>
      <c r="D78" s="4675"/>
      <c r="E78" s="4675"/>
    </row>
    <row r="79" spans="2:7" s="4671" customFormat="1">
      <c r="B79" s="4672"/>
      <c r="C79" s="4673"/>
      <c r="D79" s="4675"/>
      <c r="E79" s="4675"/>
    </row>
    <row r="80" spans="2:7" s="4671" customFormat="1">
      <c r="B80" s="4672"/>
      <c r="C80" s="4673"/>
      <c r="D80" s="4675"/>
      <c r="E80" s="4675"/>
    </row>
    <row r="81" spans="2:5" s="4671" customFormat="1">
      <c r="B81" s="4672"/>
      <c r="C81" s="4673"/>
      <c r="D81" s="4675"/>
      <c r="E81" s="4675"/>
    </row>
    <row r="82" spans="2:5" s="4671" customFormat="1">
      <c r="B82" s="4672"/>
      <c r="C82" s="4673"/>
      <c r="D82" s="4675"/>
      <c r="E82" s="4675"/>
    </row>
    <row r="83" spans="2:5" s="4671" customFormat="1">
      <c r="B83" s="4672"/>
      <c r="C83" s="4673"/>
      <c r="D83" s="4675"/>
      <c r="E83" s="4675"/>
    </row>
    <row r="84" spans="2:5" s="4671" customFormat="1">
      <c r="B84" s="4672"/>
      <c r="C84" s="4673"/>
      <c r="D84" s="4675"/>
      <c r="E84" s="4675"/>
    </row>
    <row r="85" spans="2:5" s="4671" customFormat="1">
      <c r="B85" s="4672"/>
      <c r="C85" s="4673"/>
      <c r="D85" s="4675"/>
      <c r="E85" s="4675"/>
    </row>
    <row r="86" spans="2:5" s="4671" customFormat="1">
      <c r="B86" s="4672"/>
      <c r="C86" s="4673"/>
      <c r="D86" s="4675"/>
      <c r="E86" s="4675"/>
    </row>
    <row r="87" spans="2:5" s="4671" customFormat="1">
      <c r="B87" s="4672"/>
      <c r="C87" s="4673"/>
      <c r="D87" s="4675"/>
      <c r="E87" s="4675"/>
    </row>
    <row r="88" spans="2:5" s="4671" customFormat="1">
      <c r="B88" s="4672"/>
      <c r="C88" s="4673"/>
      <c r="D88" s="4675"/>
      <c r="E88" s="4675"/>
    </row>
    <row r="89" spans="2:5" s="4671" customFormat="1">
      <c r="B89" s="4672"/>
      <c r="C89" s="4673"/>
      <c r="D89" s="4675"/>
      <c r="E89" s="4675"/>
    </row>
    <row r="90" spans="2:5" s="4671" customFormat="1">
      <c r="B90" s="4672"/>
      <c r="C90" s="4673"/>
      <c r="D90" s="4675"/>
      <c r="E90" s="4675"/>
    </row>
    <row r="91" spans="2:5" s="4671" customFormat="1">
      <c r="B91" s="4672"/>
      <c r="C91" s="4673"/>
      <c r="D91" s="4675"/>
      <c r="E91" s="4675"/>
    </row>
    <row r="92" spans="2:5" s="4671" customFormat="1">
      <c r="B92" s="4672"/>
      <c r="C92" s="4673"/>
      <c r="D92" s="4675"/>
      <c r="E92" s="4675"/>
    </row>
    <row r="93" spans="2:5" s="4671" customFormat="1">
      <c r="B93" s="4672"/>
      <c r="C93" s="4673"/>
      <c r="D93" s="4675"/>
      <c r="E93" s="4675"/>
    </row>
    <row r="94" spans="2:5" s="4671" customFormat="1">
      <c r="B94" s="4672"/>
      <c r="C94" s="4673"/>
      <c r="D94" s="4675"/>
      <c r="E94" s="4675"/>
    </row>
    <row r="95" spans="2:5" s="4671" customFormat="1">
      <c r="B95" s="4672"/>
      <c r="C95" s="4673"/>
      <c r="D95" s="4675"/>
      <c r="E95" s="4675"/>
    </row>
    <row r="96" spans="2:5" s="4671" customFormat="1">
      <c r="B96" s="4672"/>
      <c r="C96" s="4673"/>
      <c r="D96" s="4675"/>
      <c r="E96" s="4675"/>
    </row>
    <row r="97" spans="2:7" s="4671" customFormat="1">
      <c r="B97" s="4672"/>
      <c r="C97" s="4673"/>
      <c r="D97" s="4675"/>
      <c r="E97" s="4675"/>
    </row>
    <row r="98" spans="2:7" s="4671" customFormat="1">
      <c r="B98" s="4672"/>
      <c r="C98" s="4673"/>
      <c r="D98" s="4675"/>
      <c r="E98" s="4675"/>
    </row>
    <row r="99" spans="2:7" s="4671" customFormat="1">
      <c r="B99" s="4672"/>
      <c r="C99" s="4673"/>
      <c r="D99" s="4675"/>
      <c r="E99" s="4675"/>
      <c r="F99" s="4725">
        <f>+G99</f>
        <v>51</v>
      </c>
      <c r="G99" s="4725">
        <v>51</v>
      </c>
    </row>
    <row r="100" spans="2:7" s="4671" customFormat="1">
      <c r="B100" s="4672"/>
      <c r="C100" s="4673"/>
      <c r="D100" s="4675"/>
      <c r="E100" s="4675"/>
      <c r="G100" s="4671">
        <v>476</v>
      </c>
    </row>
    <row r="101" spans="2:7" s="4671" customFormat="1">
      <c r="B101" s="4672"/>
      <c r="C101" s="4673"/>
      <c r="D101" s="4675"/>
      <c r="E101" s="4675"/>
      <c r="G101" s="4671">
        <v>2145</v>
      </c>
    </row>
    <row r="102" spans="2:7" s="4671" customFormat="1">
      <c r="B102" s="4672"/>
      <c r="C102" s="4673"/>
      <c r="D102" s="4675"/>
      <c r="E102" s="4675"/>
    </row>
    <row r="103" spans="2:7" s="4671" customFormat="1">
      <c r="B103" s="4672"/>
      <c r="C103" s="4673"/>
      <c r="D103" s="4675"/>
      <c r="E103" s="4675"/>
    </row>
    <row r="104" spans="2:7" s="4671" customFormat="1">
      <c r="B104" s="4672"/>
      <c r="C104" s="4673"/>
      <c r="D104" s="4675"/>
      <c r="E104" s="4675"/>
    </row>
    <row r="105" spans="2:7" s="4671" customFormat="1">
      <c r="B105" s="4672"/>
      <c r="C105" s="4673"/>
      <c r="D105" s="4675"/>
      <c r="E105" s="4675"/>
    </row>
    <row r="106" spans="2:7" s="4671" customFormat="1">
      <c r="B106" s="4672"/>
      <c r="C106" s="4673"/>
      <c r="D106" s="4675"/>
      <c r="E106" s="4675"/>
    </row>
    <row r="107" spans="2:7" s="4671" customFormat="1">
      <c r="B107" s="4672"/>
      <c r="C107" s="4673"/>
      <c r="D107" s="4675"/>
      <c r="E107" s="4675"/>
    </row>
    <row r="108" spans="2:7" s="4671" customFormat="1">
      <c r="B108" s="4672"/>
      <c r="C108" s="4673"/>
      <c r="D108" s="4675"/>
      <c r="E108" s="4675"/>
    </row>
    <row r="109" spans="2:7" s="4671" customFormat="1">
      <c r="B109" s="4672"/>
      <c r="C109" s="4673"/>
      <c r="D109" s="4675"/>
      <c r="E109" s="4675"/>
    </row>
    <row r="110" spans="2:7" s="4671" customFormat="1">
      <c r="B110" s="4672"/>
      <c r="C110" s="4673"/>
      <c r="D110" s="4675"/>
      <c r="E110" s="4675"/>
    </row>
    <row r="111" spans="2:7" s="4671" customFormat="1">
      <c r="B111" s="4672"/>
      <c r="C111" s="4673"/>
      <c r="D111" s="4675"/>
      <c r="E111" s="4675"/>
    </row>
    <row r="112" spans="2:7" s="4671" customFormat="1">
      <c r="B112" s="4672"/>
      <c r="C112" s="4673"/>
      <c r="D112" s="4675"/>
      <c r="E112" s="4675"/>
    </row>
    <row r="113" spans="2:5" s="4671" customFormat="1">
      <c r="B113" s="4672"/>
      <c r="C113" s="4673"/>
      <c r="D113" s="4675"/>
      <c r="E113" s="4675"/>
    </row>
    <row r="114" spans="2:5" s="4671" customFormat="1">
      <c r="B114" s="4672"/>
      <c r="C114" s="4673"/>
      <c r="D114" s="4675"/>
      <c r="E114" s="4675"/>
    </row>
    <row r="115" spans="2:5" s="4671" customFormat="1">
      <c r="B115" s="4672"/>
      <c r="C115" s="4673"/>
      <c r="D115" s="4675"/>
      <c r="E115" s="4675"/>
    </row>
    <row r="116" spans="2:5" s="4671" customFormat="1">
      <c r="B116" s="4672"/>
      <c r="C116" s="4673"/>
      <c r="D116" s="4675"/>
      <c r="E116" s="4675"/>
    </row>
    <row r="117" spans="2:5" s="4671" customFormat="1">
      <c r="B117" s="4672"/>
      <c r="C117" s="4673"/>
      <c r="D117" s="4675"/>
      <c r="E117" s="4675"/>
    </row>
    <row r="118" spans="2:5" s="4671" customFormat="1">
      <c r="B118" s="4672"/>
      <c r="C118" s="4673"/>
      <c r="D118" s="4675"/>
      <c r="E118" s="4675"/>
    </row>
    <row r="119" spans="2:5" s="4671" customFormat="1">
      <c r="B119" s="4672"/>
      <c r="C119" s="4673"/>
      <c r="D119" s="4675"/>
      <c r="E119" s="4675"/>
    </row>
    <row r="120" spans="2:5" s="4671" customFormat="1">
      <c r="B120" s="4672"/>
      <c r="C120" s="4673"/>
      <c r="D120" s="4675"/>
      <c r="E120" s="4675"/>
    </row>
    <row r="121" spans="2:5" s="4671" customFormat="1">
      <c r="B121" s="4672"/>
      <c r="C121" s="4673"/>
      <c r="D121" s="4675"/>
      <c r="E121" s="4675"/>
    </row>
    <row r="122" spans="2:5" s="4671" customFormat="1">
      <c r="B122" s="4672"/>
      <c r="C122" s="4673"/>
      <c r="D122" s="4675"/>
      <c r="E122" s="4675"/>
    </row>
    <row r="123" spans="2:5" s="4671" customFormat="1">
      <c r="B123" s="4672"/>
      <c r="C123" s="4673"/>
      <c r="D123" s="4675"/>
      <c r="E123" s="4675"/>
    </row>
    <row r="124" spans="2:5" s="4671" customFormat="1">
      <c r="B124" s="4672"/>
      <c r="C124" s="4673"/>
      <c r="D124" s="4675"/>
      <c r="E124" s="4675"/>
    </row>
    <row r="125" spans="2:5" s="4671" customFormat="1">
      <c r="B125" s="4672"/>
      <c r="C125" s="4673"/>
      <c r="D125" s="4675"/>
      <c r="E125" s="4675"/>
    </row>
    <row r="126" spans="2:5" s="4671" customFormat="1">
      <c r="B126" s="4672"/>
      <c r="C126" s="4673"/>
      <c r="D126" s="4675"/>
      <c r="E126" s="4675"/>
    </row>
    <row r="127" spans="2:5" s="4671" customFormat="1">
      <c r="B127" s="4672"/>
      <c r="C127" s="4673"/>
      <c r="D127" s="4675"/>
      <c r="E127" s="4675"/>
    </row>
    <row r="128" spans="2:5" s="4671" customFormat="1">
      <c r="B128" s="4672"/>
      <c r="C128" s="4673"/>
      <c r="D128" s="4675"/>
      <c r="E128" s="4675"/>
    </row>
    <row r="129" spans="2:5" s="4671" customFormat="1">
      <c r="B129" s="4672"/>
      <c r="C129" s="4673"/>
      <c r="D129" s="4675"/>
      <c r="E129" s="4675"/>
    </row>
    <row r="130" spans="2:5" s="4671" customFormat="1">
      <c r="B130" s="4672"/>
      <c r="C130" s="4673"/>
      <c r="D130" s="4675"/>
      <c r="E130" s="4675"/>
    </row>
    <row r="131" spans="2:5" s="4671" customFormat="1">
      <c r="B131" s="4672"/>
      <c r="C131" s="4673"/>
      <c r="D131" s="4675"/>
      <c r="E131" s="4675"/>
    </row>
    <row r="132" spans="2:5" s="4671" customFormat="1">
      <c r="B132" s="4672"/>
      <c r="C132" s="4673"/>
      <c r="D132" s="4675"/>
      <c r="E132" s="4675"/>
    </row>
    <row r="133" spans="2:5" s="4671" customFormat="1">
      <c r="B133" s="4672"/>
      <c r="C133" s="4673"/>
      <c r="D133" s="4675"/>
      <c r="E133" s="4675"/>
    </row>
    <row r="134" spans="2:5" s="4671" customFormat="1">
      <c r="B134" s="4672"/>
      <c r="C134" s="4673"/>
      <c r="D134" s="4675"/>
      <c r="E134" s="4675"/>
    </row>
    <row r="135" spans="2:5" s="4671" customFormat="1">
      <c r="B135" s="4672"/>
      <c r="C135" s="4673"/>
      <c r="D135" s="4675"/>
      <c r="E135" s="4675"/>
    </row>
    <row r="136" spans="2:5" s="4671" customFormat="1">
      <c r="B136" s="4672"/>
      <c r="C136" s="4673"/>
      <c r="D136" s="4675"/>
      <c r="E136" s="4675"/>
    </row>
    <row r="137" spans="2:5" s="4671" customFormat="1">
      <c r="B137" s="4672"/>
      <c r="C137" s="4673"/>
      <c r="D137" s="4675"/>
      <c r="E137" s="4675"/>
    </row>
    <row r="138" spans="2:5" s="4671" customFormat="1">
      <c r="B138" s="4672"/>
      <c r="C138" s="4673"/>
      <c r="D138" s="4675"/>
      <c r="E138" s="4675"/>
    </row>
    <row r="139" spans="2:5" s="4671" customFormat="1">
      <c r="B139" s="4672"/>
      <c r="C139" s="4673"/>
      <c r="D139" s="4675"/>
      <c r="E139" s="4675"/>
    </row>
    <row r="140" spans="2:5" s="4671" customFormat="1">
      <c r="B140" s="4672"/>
      <c r="C140" s="4673"/>
      <c r="D140" s="4675"/>
      <c r="E140" s="4675"/>
    </row>
    <row r="141" spans="2:5" s="4671" customFormat="1">
      <c r="B141" s="4672"/>
      <c r="C141" s="4673"/>
      <c r="D141" s="4675"/>
      <c r="E141" s="4675"/>
    </row>
    <row r="142" spans="2:5" s="4671" customFormat="1">
      <c r="B142" s="4672"/>
      <c r="C142" s="4673"/>
      <c r="D142" s="4675"/>
      <c r="E142" s="4675"/>
    </row>
    <row r="143" spans="2:5" s="4671" customFormat="1">
      <c r="B143" s="4672"/>
      <c r="C143" s="4673"/>
      <c r="D143" s="4675"/>
      <c r="E143" s="4675"/>
    </row>
    <row r="144" spans="2:5" s="4671" customFormat="1">
      <c r="B144" s="4672"/>
      <c r="C144" s="4673"/>
      <c r="D144" s="4675"/>
      <c r="E144" s="4675"/>
    </row>
    <row r="145" spans="2:9" s="4671" customFormat="1">
      <c r="B145" s="4672"/>
      <c r="C145" s="4673"/>
      <c r="D145" s="4675"/>
      <c r="E145" s="4675"/>
    </row>
    <row r="146" spans="2:9" s="4671" customFormat="1">
      <c r="B146" s="4672"/>
      <c r="C146" s="4673"/>
      <c r="D146" s="4675"/>
      <c r="E146" s="4675"/>
    </row>
    <row r="147" spans="2:9" s="4671" customFormat="1">
      <c r="B147" s="4672"/>
      <c r="C147" s="4673"/>
      <c r="D147" s="4675"/>
      <c r="E147" s="4675"/>
    </row>
    <row r="148" spans="2:9" s="4671" customFormat="1">
      <c r="B148" s="4672"/>
      <c r="C148" s="4673"/>
      <c r="D148" s="4675"/>
      <c r="E148" s="4675"/>
    </row>
    <row r="149" spans="2:9" s="4671" customFormat="1">
      <c r="B149" s="4672"/>
      <c r="C149" s="4673"/>
      <c r="D149" s="4675"/>
      <c r="E149" s="4675"/>
    </row>
    <row r="150" spans="2:9" s="4671" customFormat="1">
      <c r="B150" s="4672"/>
      <c r="C150" s="4673"/>
      <c r="D150" s="4675"/>
      <c r="E150" s="4675"/>
    </row>
    <row r="151" spans="2:9" s="4671" customFormat="1">
      <c r="B151" s="4672"/>
      <c r="C151" s="4673"/>
      <c r="D151" s="4675"/>
      <c r="E151" s="4675"/>
    </row>
    <row r="152" spans="2:9" s="4671" customFormat="1">
      <c r="B152" s="4672"/>
      <c r="C152" s="4673"/>
      <c r="D152" s="4675"/>
      <c r="E152" s="4675"/>
    </row>
    <row r="153" spans="2:9" s="4671" customFormat="1">
      <c r="B153" s="4672"/>
      <c r="C153" s="4673"/>
      <c r="D153" s="4675"/>
      <c r="E153" s="4675"/>
    </row>
    <row r="154" spans="2:9" s="4671" customFormat="1">
      <c r="B154" s="4672"/>
      <c r="C154" s="4673"/>
      <c r="D154" s="4675"/>
      <c r="E154" s="4675"/>
    </row>
    <row r="155" spans="2:9" s="4671" customFormat="1">
      <c r="B155" s="4672"/>
      <c r="C155" s="4673"/>
      <c r="D155" s="4675"/>
      <c r="E155" s="4675"/>
    </row>
    <row r="156" spans="2:9" s="4671" customFormat="1">
      <c r="B156" s="4672"/>
      <c r="C156" s="4673"/>
      <c r="D156" s="4675"/>
      <c r="E156" s="4675"/>
    </row>
    <row r="157" spans="2:9" s="4671" customFormat="1">
      <c r="B157" s="4672"/>
      <c r="C157" s="4673"/>
      <c r="D157" s="4675"/>
      <c r="E157" s="4675"/>
      <c r="I157" s="4671">
        <v>27030</v>
      </c>
    </row>
    <row r="158" spans="2:9" s="4671" customFormat="1">
      <c r="B158" s="4672"/>
      <c r="C158" s="4673"/>
      <c r="D158" s="4675"/>
      <c r="E158" s="4675"/>
    </row>
    <row r="159" spans="2:9" s="4671" customFormat="1">
      <c r="B159" s="4672"/>
      <c r="C159" s="4673"/>
      <c r="D159" s="4675"/>
      <c r="E159" s="4675"/>
    </row>
    <row r="160" spans="2:9" s="4671" customFormat="1">
      <c r="B160" s="4672"/>
      <c r="C160" s="4673"/>
      <c r="D160" s="4675"/>
      <c r="E160" s="4675"/>
    </row>
    <row r="161" spans="2:9" s="4671" customFormat="1">
      <c r="B161" s="4672"/>
      <c r="C161" s="4673"/>
      <c r="D161" s="4675"/>
      <c r="E161" s="4675"/>
    </row>
    <row r="162" spans="2:9" s="4671" customFormat="1">
      <c r="B162" s="4672"/>
      <c r="C162" s="4673"/>
      <c r="D162" s="4675"/>
      <c r="E162" s="4675"/>
    </row>
    <row r="163" spans="2:9" s="4671" customFormat="1">
      <c r="B163" s="4672"/>
      <c r="C163" s="4673"/>
      <c r="D163" s="4675"/>
      <c r="E163" s="4675"/>
    </row>
    <row r="164" spans="2:9" s="4671" customFormat="1">
      <c r="B164" s="4672"/>
      <c r="C164" s="4673"/>
      <c r="D164" s="4675"/>
      <c r="E164" s="4675"/>
    </row>
    <row r="165" spans="2:9" s="4671" customFormat="1">
      <c r="B165" s="4672"/>
      <c r="C165" s="4673"/>
      <c r="D165" s="4675"/>
      <c r="E165" s="4675"/>
    </row>
    <row r="166" spans="2:9" s="4671" customFormat="1">
      <c r="B166" s="4672"/>
      <c r="C166" s="4673"/>
      <c r="D166" s="4675"/>
      <c r="E166" s="4675"/>
    </row>
    <row r="167" spans="2:9" s="4671" customFormat="1">
      <c r="B167" s="4672"/>
      <c r="C167" s="4673"/>
      <c r="D167" s="4675"/>
      <c r="E167" s="4675"/>
    </row>
    <row r="168" spans="2:9" s="4671" customFormat="1">
      <c r="B168" s="4672"/>
      <c r="C168" s="4673"/>
      <c r="D168" s="4675"/>
      <c r="E168" s="4675"/>
    </row>
    <row r="169" spans="2:9" s="4671" customFormat="1">
      <c r="B169" s="4672"/>
      <c r="C169" s="4673"/>
      <c r="D169" s="4675"/>
      <c r="E169" s="4675"/>
    </row>
    <row r="170" spans="2:9" s="4671" customFormat="1">
      <c r="B170" s="4672"/>
      <c r="C170" s="4673"/>
      <c r="D170" s="4675"/>
      <c r="E170" s="4675"/>
    </row>
    <row r="171" spans="2:9" s="4671" customFormat="1">
      <c r="B171" s="4672"/>
      <c r="C171" s="4673"/>
      <c r="D171" s="4675"/>
      <c r="E171" s="4675"/>
    </row>
    <row r="172" spans="2:9" s="4671" customFormat="1">
      <c r="B172" s="4672"/>
      <c r="C172" s="4673"/>
      <c r="D172" s="4675"/>
      <c r="E172" s="4675"/>
    </row>
    <row r="173" spans="2:9" s="4671" customFormat="1">
      <c r="B173" s="4672"/>
      <c r="C173" s="4673"/>
      <c r="D173" s="4675"/>
      <c r="E173" s="4675"/>
      <c r="I173" s="4671">
        <v>84182</v>
      </c>
    </row>
    <row r="174" spans="2:9" s="4671" customFormat="1">
      <c r="B174" s="4672"/>
      <c r="C174" s="4673"/>
      <c r="D174" s="4675"/>
      <c r="E174" s="4675"/>
    </row>
    <row r="175" spans="2:9" s="4671" customFormat="1">
      <c r="B175" s="4672"/>
      <c r="C175" s="4673"/>
      <c r="D175" s="4675"/>
      <c r="E175" s="4675"/>
    </row>
    <row r="176" spans="2:9" s="4671" customFormat="1">
      <c r="B176" s="4672"/>
      <c r="C176" s="4673"/>
      <c r="D176" s="4675"/>
      <c r="E176" s="4675"/>
    </row>
    <row r="177" spans="2:5" s="4671" customFormat="1">
      <c r="B177" s="4672"/>
      <c r="C177" s="4673"/>
      <c r="D177" s="4675"/>
      <c r="E177" s="4675"/>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34" bestFit="1" customWidth="1"/>
    <col min="2" max="2" width="43.5546875" style="4727" customWidth="1"/>
    <col min="3" max="3" width="10.88671875" style="4727" customWidth="1"/>
    <col min="4" max="4" width="12.88671875" style="4727" customWidth="1"/>
    <col min="5" max="5" width="12" style="4727" customWidth="1"/>
    <col min="6" max="6" width="16.5546875" style="4727" customWidth="1"/>
    <col min="7" max="7" width="12.6640625" style="4727" customWidth="1"/>
    <col min="8" max="8" width="12.109375" style="4727" customWidth="1"/>
    <col min="9" max="10" width="11.44140625" style="4727" bestFit="1" customWidth="1"/>
    <col min="11" max="256" width="9.109375" style="4727"/>
    <col min="257" max="257" width="6.44140625" style="4727" bestFit="1" customWidth="1"/>
    <col min="258" max="258" width="43.5546875" style="4727" customWidth="1"/>
    <col min="259" max="259" width="10.88671875" style="4727" customWidth="1"/>
    <col min="260" max="260" width="12.88671875" style="4727" customWidth="1"/>
    <col min="261" max="261" width="12" style="4727" customWidth="1"/>
    <col min="262" max="262" width="16.5546875" style="4727" customWidth="1"/>
    <col min="263" max="263" width="12.6640625" style="4727" customWidth="1"/>
    <col min="264" max="264" width="12.109375" style="4727" customWidth="1"/>
    <col min="265" max="265" width="12.5546875" style="4727" customWidth="1"/>
    <col min="266" max="512" width="9.109375" style="4727"/>
    <col min="513" max="513" width="6.44140625" style="4727" bestFit="1" customWidth="1"/>
    <col min="514" max="514" width="43.5546875" style="4727" customWidth="1"/>
    <col min="515" max="515" width="10.88671875" style="4727" customWidth="1"/>
    <col min="516" max="516" width="12.88671875" style="4727" customWidth="1"/>
    <col min="517" max="517" width="12" style="4727" customWidth="1"/>
    <col min="518" max="518" width="16.5546875" style="4727" customWidth="1"/>
    <col min="519" max="519" width="12.6640625" style="4727" customWidth="1"/>
    <col min="520" max="520" width="12.109375" style="4727" customWidth="1"/>
    <col min="521" max="521" width="12.5546875" style="4727" customWidth="1"/>
    <col min="522" max="768" width="9.109375" style="4727"/>
    <col min="769" max="769" width="6.44140625" style="4727" bestFit="1" customWidth="1"/>
    <col min="770" max="770" width="43.5546875" style="4727" customWidth="1"/>
    <col min="771" max="771" width="10.88671875" style="4727" customWidth="1"/>
    <col min="772" max="772" width="12.88671875" style="4727" customWidth="1"/>
    <col min="773" max="773" width="12" style="4727" customWidth="1"/>
    <col min="774" max="774" width="16.5546875" style="4727" customWidth="1"/>
    <col min="775" max="775" width="12.6640625" style="4727" customWidth="1"/>
    <col min="776" max="776" width="12.109375" style="4727" customWidth="1"/>
    <col min="777" max="777" width="12.5546875" style="4727" customWidth="1"/>
    <col min="778" max="1024" width="9.109375" style="4727"/>
    <col min="1025" max="1025" width="6.44140625" style="4727" bestFit="1" customWidth="1"/>
    <col min="1026" max="1026" width="43.5546875" style="4727" customWidth="1"/>
    <col min="1027" max="1027" width="10.88671875" style="4727" customWidth="1"/>
    <col min="1028" max="1028" width="12.88671875" style="4727" customWidth="1"/>
    <col min="1029" max="1029" width="12" style="4727" customWidth="1"/>
    <col min="1030" max="1030" width="16.5546875" style="4727" customWidth="1"/>
    <col min="1031" max="1031" width="12.6640625" style="4727" customWidth="1"/>
    <col min="1032" max="1032" width="12.109375" style="4727" customWidth="1"/>
    <col min="1033" max="1033" width="12.5546875" style="4727" customWidth="1"/>
    <col min="1034" max="1280" width="9.109375" style="4727"/>
    <col min="1281" max="1281" width="6.44140625" style="4727" bestFit="1" customWidth="1"/>
    <col min="1282" max="1282" width="43.5546875" style="4727" customWidth="1"/>
    <col min="1283" max="1283" width="10.88671875" style="4727" customWidth="1"/>
    <col min="1284" max="1284" width="12.88671875" style="4727" customWidth="1"/>
    <col min="1285" max="1285" width="12" style="4727" customWidth="1"/>
    <col min="1286" max="1286" width="16.5546875" style="4727" customWidth="1"/>
    <col min="1287" max="1287" width="12.6640625" style="4727" customWidth="1"/>
    <col min="1288" max="1288" width="12.109375" style="4727" customWidth="1"/>
    <col min="1289" max="1289" width="12.5546875" style="4727" customWidth="1"/>
    <col min="1290" max="1536" width="9.109375" style="4727"/>
    <col min="1537" max="1537" width="6.44140625" style="4727" bestFit="1" customWidth="1"/>
    <col min="1538" max="1538" width="43.5546875" style="4727" customWidth="1"/>
    <col min="1539" max="1539" width="10.88671875" style="4727" customWidth="1"/>
    <col min="1540" max="1540" width="12.88671875" style="4727" customWidth="1"/>
    <col min="1541" max="1541" width="12" style="4727" customWidth="1"/>
    <col min="1542" max="1542" width="16.5546875" style="4727" customWidth="1"/>
    <col min="1543" max="1543" width="12.6640625" style="4727" customWidth="1"/>
    <col min="1544" max="1544" width="12.109375" style="4727" customWidth="1"/>
    <col min="1545" max="1545" width="12.5546875" style="4727" customWidth="1"/>
    <col min="1546" max="1792" width="9.109375" style="4727"/>
    <col min="1793" max="1793" width="6.44140625" style="4727" bestFit="1" customWidth="1"/>
    <col min="1794" max="1794" width="43.5546875" style="4727" customWidth="1"/>
    <col min="1795" max="1795" width="10.88671875" style="4727" customWidth="1"/>
    <col min="1796" max="1796" width="12.88671875" style="4727" customWidth="1"/>
    <col min="1797" max="1797" width="12" style="4727" customWidth="1"/>
    <col min="1798" max="1798" width="16.5546875" style="4727" customWidth="1"/>
    <col min="1799" max="1799" width="12.6640625" style="4727" customWidth="1"/>
    <col min="1800" max="1800" width="12.109375" style="4727" customWidth="1"/>
    <col min="1801" max="1801" width="12.5546875" style="4727" customWidth="1"/>
    <col min="1802" max="2048" width="9.109375" style="4727"/>
    <col min="2049" max="2049" width="6.44140625" style="4727" bestFit="1" customWidth="1"/>
    <col min="2050" max="2050" width="43.5546875" style="4727" customWidth="1"/>
    <col min="2051" max="2051" width="10.88671875" style="4727" customWidth="1"/>
    <col min="2052" max="2052" width="12.88671875" style="4727" customWidth="1"/>
    <col min="2053" max="2053" width="12" style="4727" customWidth="1"/>
    <col min="2054" max="2054" width="16.5546875" style="4727" customWidth="1"/>
    <col min="2055" max="2055" width="12.6640625" style="4727" customWidth="1"/>
    <col min="2056" max="2056" width="12.109375" style="4727" customWidth="1"/>
    <col min="2057" max="2057" width="12.5546875" style="4727" customWidth="1"/>
    <col min="2058" max="2304" width="9.109375" style="4727"/>
    <col min="2305" max="2305" width="6.44140625" style="4727" bestFit="1" customWidth="1"/>
    <col min="2306" max="2306" width="43.5546875" style="4727" customWidth="1"/>
    <col min="2307" max="2307" width="10.88671875" style="4727" customWidth="1"/>
    <col min="2308" max="2308" width="12.88671875" style="4727" customWidth="1"/>
    <col min="2309" max="2309" width="12" style="4727" customWidth="1"/>
    <col min="2310" max="2310" width="16.5546875" style="4727" customWidth="1"/>
    <col min="2311" max="2311" width="12.6640625" style="4727" customWidth="1"/>
    <col min="2312" max="2312" width="12.109375" style="4727" customWidth="1"/>
    <col min="2313" max="2313" width="12.5546875" style="4727" customWidth="1"/>
    <col min="2314" max="2560" width="9.109375" style="4727"/>
    <col min="2561" max="2561" width="6.44140625" style="4727" bestFit="1" customWidth="1"/>
    <col min="2562" max="2562" width="43.5546875" style="4727" customWidth="1"/>
    <col min="2563" max="2563" width="10.88671875" style="4727" customWidth="1"/>
    <col min="2564" max="2564" width="12.88671875" style="4727" customWidth="1"/>
    <col min="2565" max="2565" width="12" style="4727" customWidth="1"/>
    <col min="2566" max="2566" width="16.5546875" style="4727" customWidth="1"/>
    <col min="2567" max="2567" width="12.6640625" style="4727" customWidth="1"/>
    <col min="2568" max="2568" width="12.109375" style="4727" customWidth="1"/>
    <col min="2569" max="2569" width="12.5546875" style="4727" customWidth="1"/>
    <col min="2570" max="2816" width="9.109375" style="4727"/>
    <col min="2817" max="2817" width="6.44140625" style="4727" bestFit="1" customWidth="1"/>
    <col min="2818" max="2818" width="43.5546875" style="4727" customWidth="1"/>
    <col min="2819" max="2819" width="10.88671875" style="4727" customWidth="1"/>
    <col min="2820" max="2820" width="12.88671875" style="4727" customWidth="1"/>
    <col min="2821" max="2821" width="12" style="4727" customWidth="1"/>
    <col min="2822" max="2822" width="16.5546875" style="4727" customWidth="1"/>
    <col min="2823" max="2823" width="12.6640625" style="4727" customWidth="1"/>
    <col min="2824" max="2824" width="12.109375" style="4727" customWidth="1"/>
    <col min="2825" max="2825" width="12.5546875" style="4727" customWidth="1"/>
    <col min="2826" max="3072" width="9.109375" style="4727"/>
    <col min="3073" max="3073" width="6.44140625" style="4727" bestFit="1" customWidth="1"/>
    <col min="3074" max="3074" width="43.5546875" style="4727" customWidth="1"/>
    <col min="3075" max="3075" width="10.88671875" style="4727" customWidth="1"/>
    <col min="3076" max="3076" width="12.88671875" style="4727" customWidth="1"/>
    <col min="3077" max="3077" width="12" style="4727" customWidth="1"/>
    <col min="3078" max="3078" width="16.5546875" style="4727" customWidth="1"/>
    <col min="3079" max="3079" width="12.6640625" style="4727" customWidth="1"/>
    <col min="3080" max="3080" width="12.109375" style="4727" customWidth="1"/>
    <col min="3081" max="3081" width="12.5546875" style="4727" customWidth="1"/>
    <col min="3082" max="3328" width="9.109375" style="4727"/>
    <col min="3329" max="3329" width="6.44140625" style="4727" bestFit="1" customWidth="1"/>
    <col min="3330" max="3330" width="43.5546875" style="4727" customWidth="1"/>
    <col min="3331" max="3331" width="10.88671875" style="4727" customWidth="1"/>
    <col min="3332" max="3332" width="12.88671875" style="4727" customWidth="1"/>
    <col min="3333" max="3333" width="12" style="4727" customWidth="1"/>
    <col min="3334" max="3334" width="16.5546875" style="4727" customWidth="1"/>
    <col min="3335" max="3335" width="12.6640625" style="4727" customWidth="1"/>
    <col min="3336" max="3336" width="12.109375" style="4727" customWidth="1"/>
    <col min="3337" max="3337" width="12.5546875" style="4727" customWidth="1"/>
    <col min="3338" max="3584" width="9.109375" style="4727"/>
    <col min="3585" max="3585" width="6.44140625" style="4727" bestFit="1" customWidth="1"/>
    <col min="3586" max="3586" width="43.5546875" style="4727" customWidth="1"/>
    <col min="3587" max="3587" width="10.88671875" style="4727" customWidth="1"/>
    <col min="3588" max="3588" width="12.88671875" style="4727" customWidth="1"/>
    <col min="3589" max="3589" width="12" style="4727" customWidth="1"/>
    <col min="3590" max="3590" width="16.5546875" style="4727" customWidth="1"/>
    <col min="3591" max="3591" width="12.6640625" style="4727" customWidth="1"/>
    <col min="3592" max="3592" width="12.109375" style="4727" customWidth="1"/>
    <col min="3593" max="3593" width="12.5546875" style="4727" customWidth="1"/>
    <col min="3594" max="3840" width="9.109375" style="4727"/>
    <col min="3841" max="3841" width="6.44140625" style="4727" bestFit="1" customWidth="1"/>
    <col min="3842" max="3842" width="43.5546875" style="4727" customWidth="1"/>
    <col min="3843" max="3843" width="10.88671875" style="4727" customWidth="1"/>
    <col min="3844" max="3844" width="12.88671875" style="4727" customWidth="1"/>
    <col min="3845" max="3845" width="12" style="4727" customWidth="1"/>
    <col min="3846" max="3846" width="16.5546875" style="4727" customWidth="1"/>
    <col min="3847" max="3847" width="12.6640625" style="4727" customWidth="1"/>
    <col min="3848" max="3848" width="12.109375" style="4727" customWidth="1"/>
    <col min="3849" max="3849" width="12.5546875" style="4727" customWidth="1"/>
    <col min="3850" max="4096" width="9.109375" style="4727"/>
    <col min="4097" max="4097" width="6.44140625" style="4727" bestFit="1" customWidth="1"/>
    <col min="4098" max="4098" width="43.5546875" style="4727" customWidth="1"/>
    <col min="4099" max="4099" width="10.88671875" style="4727" customWidth="1"/>
    <col min="4100" max="4100" width="12.88671875" style="4727" customWidth="1"/>
    <col min="4101" max="4101" width="12" style="4727" customWidth="1"/>
    <col min="4102" max="4102" width="16.5546875" style="4727" customWidth="1"/>
    <col min="4103" max="4103" width="12.6640625" style="4727" customWidth="1"/>
    <col min="4104" max="4104" width="12.109375" style="4727" customWidth="1"/>
    <col min="4105" max="4105" width="12.5546875" style="4727" customWidth="1"/>
    <col min="4106" max="4352" width="9.109375" style="4727"/>
    <col min="4353" max="4353" width="6.44140625" style="4727" bestFit="1" customWidth="1"/>
    <col min="4354" max="4354" width="43.5546875" style="4727" customWidth="1"/>
    <col min="4355" max="4355" width="10.88671875" style="4727" customWidth="1"/>
    <col min="4356" max="4356" width="12.88671875" style="4727" customWidth="1"/>
    <col min="4357" max="4357" width="12" style="4727" customWidth="1"/>
    <col min="4358" max="4358" width="16.5546875" style="4727" customWidth="1"/>
    <col min="4359" max="4359" width="12.6640625" style="4727" customWidth="1"/>
    <col min="4360" max="4360" width="12.109375" style="4727" customWidth="1"/>
    <col min="4361" max="4361" width="12.5546875" style="4727" customWidth="1"/>
    <col min="4362" max="4608" width="9.109375" style="4727"/>
    <col min="4609" max="4609" width="6.44140625" style="4727" bestFit="1" customWidth="1"/>
    <col min="4610" max="4610" width="43.5546875" style="4727" customWidth="1"/>
    <col min="4611" max="4611" width="10.88671875" style="4727" customWidth="1"/>
    <col min="4612" max="4612" width="12.88671875" style="4727" customWidth="1"/>
    <col min="4613" max="4613" width="12" style="4727" customWidth="1"/>
    <col min="4614" max="4614" width="16.5546875" style="4727" customWidth="1"/>
    <col min="4615" max="4615" width="12.6640625" style="4727" customWidth="1"/>
    <col min="4616" max="4616" width="12.109375" style="4727" customWidth="1"/>
    <col min="4617" max="4617" width="12.5546875" style="4727" customWidth="1"/>
    <col min="4618" max="4864" width="9.109375" style="4727"/>
    <col min="4865" max="4865" width="6.44140625" style="4727" bestFit="1" customWidth="1"/>
    <col min="4866" max="4866" width="43.5546875" style="4727" customWidth="1"/>
    <col min="4867" max="4867" width="10.88671875" style="4727" customWidth="1"/>
    <col min="4868" max="4868" width="12.88671875" style="4727" customWidth="1"/>
    <col min="4869" max="4869" width="12" style="4727" customWidth="1"/>
    <col min="4870" max="4870" width="16.5546875" style="4727" customWidth="1"/>
    <col min="4871" max="4871" width="12.6640625" style="4727" customWidth="1"/>
    <col min="4872" max="4872" width="12.109375" style="4727" customWidth="1"/>
    <col min="4873" max="4873" width="12.5546875" style="4727" customWidth="1"/>
    <col min="4874" max="5120" width="9.109375" style="4727"/>
    <col min="5121" max="5121" width="6.44140625" style="4727" bestFit="1" customWidth="1"/>
    <col min="5122" max="5122" width="43.5546875" style="4727" customWidth="1"/>
    <col min="5123" max="5123" width="10.88671875" style="4727" customWidth="1"/>
    <col min="5124" max="5124" width="12.88671875" style="4727" customWidth="1"/>
    <col min="5125" max="5125" width="12" style="4727" customWidth="1"/>
    <col min="5126" max="5126" width="16.5546875" style="4727" customWidth="1"/>
    <col min="5127" max="5127" width="12.6640625" style="4727" customWidth="1"/>
    <col min="5128" max="5128" width="12.109375" style="4727" customWidth="1"/>
    <col min="5129" max="5129" width="12.5546875" style="4727" customWidth="1"/>
    <col min="5130" max="5376" width="9.109375" style="4727"/>
    <col min="5377" max="5377" width="6.44140625" style="4727" bestFit="1" customWidth="1"/>
    <col min="5378" max="5378" width="43.5546875" style="4727" customWidth="1"/>
    <col min="5379" max="5379" width="10.88671875" style="4727" customWidth="1"/>
    <col min="5380" max="5380" width="12.88671875" style="4727" customWidth="1"/>
    <col min="5381" max="5381" width="12" style="4727" customWidth="1"/>
    <col min="5382" max="5382" width="16.5546875" style="4727" customWidth="1"/>
    <col min="5383" max="5383" width="12.6640625" style="4727" customWidth="1"/>
    <col min="5384" max="5384" width="12.109375" style="4727" customWidth="1"/>
    <col min="5385" max="5385" width="12.5546875" style="4727" customWidth="1"/>
    <col min="5386" max="5632" width="9.109375" style="4727"/>
    <col min="5633" max="5633" width="6.44140625" style="4727" bestFit="1" customWidth="1"/>
    <col min="5634" max="5634" width="43.5546875" style="4727" customWidth="1"/>
    <col min="5635" max="5635" width="10.88671875" style="4727" customWidth="1"/>
    <col min="5636" max="5636" width="12.88671875" style="4727" customWidth="1"/>
    <col min="5637" max="5637" width="12" style="4727" customWidth="1"/>
    <col min="5638" max="5638" width="16.5546875" style="4727" customWidth="1"/>
    <col min="5639" max="5639" width="12.6640625" style="4727" customWidth="1"/>
    <col min="5640" max="5640" width="12.109375" style="4727" customWidth="1"/>
    <col min="5641" max="5641" width="12.5546875" style="4727" customWidth="1"/>
    <col min="5642" max="5888" width="9.109375" style="4727"/>
    <col min="5889" max="5889" width="6.44140625" style="4727" bestFit="1" customWidth="1"/>
    <col min="5890" max="5890" width="43.5546875" style="4727" customWidth="1"/>
    <col min="5891" max="5891" width="10.88671875" style="4727" customWidth="1"/>
    <col min="5892" max="5892" width="12.88671875" style="4727" customWidth="1"/>
    <col min="5893" max="5893" width="12" style="4727" customWidth="1"/>
    <col min="5894" max="5894" width="16.5546875" style="4727" customWidth="1"/>
    <col min="5895" max="5895" width="12.6640625" style="4727" customWidth="1"/>
    <col min="5896" max="5896" width="12.109375" style="4727" customWidth="1"/>
    <col min="5897" max="5897" width="12.5546875" style="4727" customWidth="1"/>
    <col min="5898" max="6144" width="9.109375" style="4727"/>
    <col min="6145" max="6145" width="6.44140625" style="4727" bestFit="1" customWidth="1"/>
    <col min="6146" max="6146" width="43.5546875" style="4727" customWidth="1"/>
    <col min="6147" max="6147" width="10.88671875" style="4727" customWidth="1"/>
    <col min="6148" max="6148" width="12.88671875" style="4727" customWidth="1"/>
    <col min="6149" max="6149" width="12" style="4727" customWidth="1"/>
    <col min="6150" max="6150" width="16.5546875" style="4727" customWidth="1"/>
    <col min="6151" max="6151" width="12.6640625" style="4727" customWidth="1"/>
    <col min="6152" max="6152" width="12.109375" style="4727" customWidth="1"/>
    <col min="6153" max="6153" width="12.5546875" style="4727" customWidth="1"/>
    <col min="6154" max="6400" width="9.109375" style="4727"/>
    <col min="6401" max="6401" width="6.44140625" style="4727" bestFit="1" customWidth="1"/>
    <col min="6402" max="6402" width="43.5546875" style="4727" customWidth="1"/>
    <col min="6403" max="6403" width="10.88671875" style="4727" customWidth="1"/>
    <col min="6404" max="6404" width="12.88671875" style="4727" customWidth="1"/>
    <col min="6405" max="6405" width="12" style="4727" customWidth="1"/>
    <col min="6406" max="6406" width="16.5546875" style="4727" customWidth="1"/>
    <col min="6407" max="6407" width="12.6640625" style="4727" customWidth="1"/>
    <col min="6408" max="6408" width="12.109375" style="4727" customWidth="1"/>
    <col min="6409" max="6409" width="12.5546875" style="4727" customWidth="1"/>
    <col min="6410" max="6656" width="9.109375" style="4727"/>
    <col min="6657" max="6657" width="6.44140625" style="4727" bestFit="1" customWidth="1"/>
    <col min="6658" max="6658" width="43.5546875" style="4727" customWidth="1"/>
    <col min="6659" max="6659" width="10.88671875" style="4727" customWidth="1"/>
    <col min="6660" max="6660" width="12.88671875" style="4727" customWidth="1"/>
    <col min="6661" max="6661" width="12" style="4727" customWidth="1"/>
    <col min="6662" max="6662" width="16.5546875" style="4727" customWidth="1"/>
    <col min="6663" max="6663" width="12.6640625" style="4727" customWidth="1"/>
    <col min="6664" max="6664" width="12.109375" style="4727" customWidth="1"/>
    <col min="6665" max="6665" width="12.5546875" style="4727" customWidth="1"/>
    <col min="6666" max="6912" width="9.109375" style="4727"/>
    <col min="6913" max="6913" width="6.44140625" style="4727" bestFit="1" customWidth="1"/>
    <col min="6914" max="6914" width="43.5546875" style="4727" customWidth="1"/>
    <col min="6915" max="6915" width="10.88671875" style="4727" customWidth="1"/>
    <col min="6916" max="6916" width="12.88671875" style="4727" customWidth="1"/>
    <col min="6917" max="6917" width="12" style="4727" customWidth="1"/>
    <col min="6918" max="6918" width="16.5546875" style="4727" customWidth="1"/>
    <col min="6919" max="6919" width="12.6640625" style="4727" customWidth="1"/>
    <col min="6920" max="6920" width="12.109375" style="4727" customWidth="1"/>
    <col min="6921" max="6921" width="12.5546875" style="4727" customWidth="1"/>
    <col min="6922" max="7168" width="9.109375" style="4727"/>
    <col min="7169" max="7169" width="6.44140625" style="4727" bestFit="1" customWidth="1"/>
    <col min="7170" max="7170" width="43.5546875" style="4727" customWidth="1"/>
    <col min="7171" max="7171" width="10.88671875" style="4727" customWidth="1"/>
    <col min="7172" max="7172" width="12.88671875" style="4727" customWidth="1"/>
    <col min="7173" max="7173" width="12" style="4727" customWidth="1"/>
    <col min="7174" max="7174" width="16.5546875" style="4727" customWidth="1"/>
    <col min="7175" max="7175" width="12.6640625" style="4727" customWidth="1"/>
    <col min="7176" max="7176" width="12.109375" style="4727" customWidth="1"/>
    <col min="7177" max="7177" width="12.5546875" style="4727" customWidth="1"/>
    <col min="7178" max="7424" width="9.109375" style="4727"/>
    <col min="7425" max="7425" width="6.44140625" style="4727" bestFit="1" customWidth="1"/>
    <col min="7426" max="7426" width="43.5546875" style="4727" customWidth="1"/>
    <col min="7427" max="7427" width="10.88671875" style="4727" customWidth="1"/>
    <col min="7428" max="7428" width="12.88671875" style="4727" customWidth="1"/>
    <col min="7429" max="7429" width="12" style="4727" customWidth="1"/>
    <col min="7430" max="7430" width="16.5546875" style="4727" customWidth="1"/>
    <col min="7431" max="7431" width="12.6640625" style="4727" customWidth="1"/>
    <col min="7432" max="7432" width="12.109375" style="4727" customWidth="1"/>
    <col min="7433" max="7433" width="12.5546875" style="4727" customWidth="1"/>
    <col min="7434" max="7680" width="9.109375" style="4727"/>
    <col min="7681" max="7681" width="6.44140625" style="4727" bestFit="1" customWidth="1"/>
    <col min="7682" max="7682" width="43.5546875" style="4727" customWidth="1"/>
    <col min="7683" max="7683" width="10.88671875" style="4727" customWidth="1"/>
    <col min="7684" max="7684" width="12.88671875" style="4727" customWidth="1"/>
    <col min="7685" max="7685" width="12" style="4727" customWidth="1"/>
    <col min="7686" max="7686" width="16.5546875" style="4727" customWidth="1"/>
    <col min="7687" max="7687" width="12.6640625" style="4727" customWidth="1"/>
    <col min="7688" max="7688" width="12.109375" style="4727" customWidth="1"/>
    <col min="7689" max="7689" width="12.5546875" style="4727" customWidth="1"/>
    <col min="7690" max="7936" width="9.109375" style="4727"/>
    <col min="7937" max="7937" width="6.44140625" style="4727" bestFit="1" customWidth="1"/>
    <col min="7938" max="7938" width="43.5546875" style="4727" customWidth="1"/>
    <col min="7939" max="7939" width="10.88671875" style="4727" customWidth="1"/>
    <col min="7940" max="7940" width="12.88671875" style="4727" customWidth="1"/>
    <col min="7941" max="7941" width="12" style="4727" customWidth="1"/>
    <col min="7942" max="7942" width="16.5546875" style="4727" customWidth="1"/>
    <col min="7943" max="7943" width="12.6640625" style="4727" customWidth="1"/>
    <col min="7944" max="7944" width="12.109375" style="4727" customWidth="1"/>
    <col min="7945" max="7945" width="12.5546875" style="4727" customWidth="1"/>
    <col min="7946" max="8192" width="9.109375" style="4727"/>
    <col min="8193" max="8193" width="6.44140625" style="4727" bestFit="1" customWidth="1"/>
    <col min="8194" max="8194" width="43.5546875" style="4727" customWidth="1"/>
    <col min="8195" max="8195" width="10.88671875" style="4727" customWidth="1"/>
    <col min="8196" max="8196" width="12.88671875" style="4727" customWidth="1"/>
    <col min="8197" max="8197" width="12" style="4727" customWidth="1"/>
    <col min="8198" max="8198" width="16.5546875" style="4727" customWidth="1"/>
    <col min="8199" max="8199" width="12.6640625" style="4727" customWidth="1"/>
    <col min="8200" max="8200" width="12.109375" style="4727" customWidth="1"/>
    <col min="8201" max="8201" width="12.5546875" style="4727" customWidth="1"/>
    <col min="8202" max="8448" width="9.109375" style="4727"/>
    <col min="8449" max="8449" width="6.44140625" style="4727" bestFit="1" customWidth="1"/>
    <col min="8450" max="8450" width="43.5546875" style="4727" customWidth="1"/>
    <col min="8451" max="8451" width="10.88671875" style="4727" customWidth="1"/>
    <col min="8452" max="8452" width="12.88671875" style="4727" customWidth="1"/>
    <col min="8453" max="8453" width="12" style="4727" customWidth="1"/>
    <col min="8454" max="8454" width="16.5546875" style="4727" customWidth="1"/>
    <col min="8455" max="8455" width="12.6640625" style="4727" customWidth="1"/>
    <col min="8456" max="8456" width="12.109375" style="4727" customWidth="1"/>
    <col min="8457" max="8457" width="12.5546875" style="4727" customWidth="1"/>
    <col min="8458" max="8704" width="9.109375" style="4727"/>
    <col min="8705" max="8705" width="6.44140625" style="4727" bestFit="1" customWidth="1"/>
    <col min="8706" max="8706" width="43.5546875" style="4727" customWidth="1"/>
    <col min="8707" max="8707" width="10.88671875" style="4727" customWidth="1"/>
    <col min="8708" max="8708" width="12.88671875" style="4727" customWidth="1"/>
    <col min="8709" max="8709" width="12" style="4727" customWidth="1"/>
    <col min="8710" max="8710" width="16.5546875" style="4727" customWidth="1"/>
    <col min="8711" max="8711" width="12.6640625" style="4727" customWidth="1"/>
    <col min="8712" max="8712" width="12.109375" style="4727" customWidth="1"/>
    <col min="8713" max="8713" width="12.5546875" style="4727" customWidth="1"/>
    <col min="8714" max="8960" width="9.109375" style="4727"/>
    <col min="8961" max="8961" width="6.44140625" style="4727" bestFit="1" customWidth="1"/>
    <col min="8962" max="8962" width="43.5546875" style="4727" customWidth="1"/>
    <col min="8963" max="8963" width="10.88671875" style="4727" customWidth="1"/>
    <col min="8964" max="8964" width="12.88671875" style="4727" customWidth="1"/>
    <col min="8965" max="8965" width="12" style="4727" customWidth="1"/>
    <col min="8966" max="8966" width="16.5546875" style="4727" customWidth="1"/>
    <col min="8967" max="8967" width="12.6640625" style="4727" customWidth="1"/>
    <col min="8968" max="8968" width="12.109375" style="4727" customWidth="1"/>
    <col min="8969" max="8969" width="12.5546875" style="4727" customWidth="1"/>
    <col min="8970" max="9216" width="9.109375" style="4727"/>
    <col min="9217" max="9217" width="6.44140625" style="4727" bestFit="1" customWidth="1"/>
    <col min="9218" max="9218" width="43.5546875" style="4727" customWidth="1"/>
    <col min="9219" max="9219" width="10.88671875" style="4727" customWidth="1"/>
    <col min="9220" max="9220" width="12.88671875" style="4727" customWidth="1"/>
    <col min="9221" max="9221" width="12" style="4727" customWidth="1"/>
    <col min="9222" max="9222" width="16.5546875" style="4727" customWidth="1"/>
    <col min="9223" max="9223" width="12.6640625" style="4727" customWidth="1"/>
    <col min="9224" max="9224" width="12.109375" style="4727" customWidth="1"/>
    <col min="9225" max="9225" width="12.5546875" style="4727" customWidth="1"/>
    <col min="9226" max="9472" width="9.109375" style="4727"/>
    <col min="9473" max="9473" width="6.44140625" style="4727" bestFit="1" customWidth="1"/>
    <col min="9474" max="9474" width="43.5546875" style="4727" customWidth="1"/>
    <col min="9475" max="9475" width="10.88671875" style="4727" customWidth="1"/>
    <col min="9476" max="9476" width="12.88671875" style="4727" customWidth="1"/>
    <col min="9477" max="9477" width="12" style="4727" customWidth="1"/>
    <col min="9478" max="9478" width="16.5546875" style="4727" customWidth="1"/>
    <col min="9479" max="9479" width="12.6640625" style="4727" customWidth="1"/>
    <col min="9480" max="9480" width="12.109375" style="4727" customWidth="1"/>
    <col min="9481" max="9481" width="12.5546875" style="4727" customWidth="1"/>
    <col min="9482" max="9728" width="9.109375" style="4727"/>
    <col min="9729" max="9729" width="6.44140625" style="4727" bestFit="1" customWidth="1"/>
    <col min="9730" max="9730" width="43.5546875" style="4727" customWidth="1"/>
    <col min="9731" max="9731" width="10.88671875" style="4727" customWidth="1"/>
    <col min="9732" max="9732" width="12.88671875" style="4727" customWidth="1"/>
    <col min="9733" max="9733" width="12" style="4727" customWidth="1"/>
    <col min="9734" max="9734" width="16.5546875" style="4727" customWidth="1"/>
    <col min="9735" max="9735" width="12.6640625" style="4727" customWidth="1"/>
    <col min="9736" max="9736" width="12.109375" style="4727" customWidth="1"/>
    <col min="9737" max="9737" width="12.5546875" style="4727" customWidth="1"/>
    <col min="9738" max="9984" width="9.109375" style="4727"/>
    <col min="9985" max="9985" width="6.44140625" style="4727" bestFit="1" customWidth="1"/>
    <col min="9986" max="9986" width="43.5546875" style="4727" customWidth="1"/>
    <col min="9987" max="9987" width="10.88671875" style="4727" customWidth="1"/>
    <col min="9988" max="9988" width="12.88671875" style="4727" customWidth="1"/>
    <col min="9989" max="9989" width="12" style="4727" customWidth="1"/>
    <col min="9990" max="9990" width="16.5546875" style="4727" customWidth="1"/>
    <col min="9991" max="9991" width="12.6640625" style="4727" customWidth="1"/>
    <col min="9992" max="9992" width="12.109375" style="4727" customWidth="1"/>
    <col min="9993" max="9993" width="12.5546875" style="4727" customWidth="1"/>
    <col min="9994" max="10240" width="9.109375" style="4727"/>
    <col min="10241" max="10241" width="6.44140625" style="4727" bestFit="1" customWidth="1"/>
    <col min="10242" max="10242" width="43.5546875" style="4727" customWidth="1"/>
    <col min="10243" max="10243" width="10.88671875" style="4727" customWidth="1"/>
    <col min="10244" max="10244" width="12.88671875" style="4727" customWidth="1"/>
    <col min="10245" max="10245" width="12" style="4727" customWidth="1"/>
    <col min="10246" max="10246" width="16.5546875" style="4727" customWidth="1"/>
    <col min="10247" max="10247" width="12.6640625" style="4727" customWidth="1"/>
    <col min="10248" max="10248" width="12.109375" style="4727" customWidth="1"/>
    <col min="10249" max="10249" width="12.5546875" style="4727" customWidth="1"/>
    <col min="10250" max="10496" width="9.109375" style="4727"/>
    <col min="10497" max="10497" width="6.44140625" style="4727" bestFit="1" customWidth="1"/>
    <col min="10498" max="10498" width="43.5546875" style="4727" customWidth="1"/>
    <col min="10499" max="10499" width="10.88671875" style="4727" customWidth="1"/>
    <col min="10500" max="10500" width="12.88671875" style="4727" customWidth="1"/>
    <col min="10501" max="10501" width="12" style="4727" customWidth="1"/>
    <col min="10502" max="10502" width="16.5546875" style="4727" customWidth="1"/>
    <col min="10503" max="10503" width="12.6640625" style="4727" customWidth="1"/>
    <col min="10504" max="10504" width="12.109375" style="4727" customWidth="1"/>
    <col min="10505" max="10505" width="12.5546875" style="4727" customWidth="1"/>
    <col min="10506" max="10752" width="9.109375" style="4727"/>
    <col min="10753" max="10753" width="6.44140625" style="4727" bestFit="1" customWidth="1"/>
    <col min="10754" max="10754" width="43.5546875" style="4727" customWidth="1"/>
    <col min="10755" max="10755" width="10.88671875" style="4727" customWidth="1"/>
    <col min="10756" max="10756" width="12.88671875" style="4727" customWidth="1"/>
    <col min="10757" max="10757" width="12" style="4727" customWidth="1"/>
    <col min="10758" max="10758" width="16.5546875" style="4727" customWidth="1"/>
    <col min="10759" max="10759" width="12.6640625" style="4727" customWidth="1"/>
    <col min="10760" max="10760" width="12.109375" style="4727" customWidth="1"/>
    <col min="10761" max="10761" width="12.5546875" style="4727" customWidth="1"/>
    <col min="10762" max="11008" width="9.109375" style="4727"/>
    <col min="11009" max="11009" width="6.44140625" style="4727" bestFit="1" customWidth="1"/>
    <col min="11010" max="11010" width="43.5546875" style="4727" customWidth="1"/>
    <col min="11011" max="11011" width="10.88671875" style="4727" customWidth="1"/>
    <col min="11012" max="11012" width="12.88671875" style="4727" customWidth="1"/>
    <col min="11013" max="11013" width="12" style="4727" customWidth="1"/>
    <col min="11014" max="11014" width="16.5546875" style="4727" customWidth="1"/>
    <col min="11015" max="11015" width="12.6640625" style="4727" customWidth="1"/>
    <col min="11016" max="11016" width="12.109375" style="4727" customWidth="1"/>
    <col min="11017" max="11017" width="12.5546875" style="4727" customWidth="1"/>
    <col min="11018" max="11264" width="9.109375" style="4727"/>
    <col min="11265" max="11265" width="6.44140625" style="4727" bestFit="1" customWidth="1"/>
    <col min="11266" max="11266" width="43.5546875" style="4727" customWidth="1"/>
    <col min="11267" max="11267" width="10.88671875" style="4727" customWidth="1"/>
    <col min="11268" max="11268" width="12.88671875" style="4727" customWidth="1"/>
    <col min="11269" max="11269" width="12" style="4727" customWidth="1"/>
    <col min="11270" max="11270" width="16.5546875" style="4727" customWidth="1"/>
    <col min="11271" max="11271" width="12.6640625" style="4727" customWidth="1"/>
    <col min="11272" max="11272" width="12.109375" style="4727" customWidth="1"/>
    <col min="11273" max="11273" width="12.5546875" style="4727" customWidth="1"/>
    <col min="11274" max="11520" width="9.109375" style="4727"/>
    <col min="11521" max="11521" width="6.44140625" style="4727" bestFit="1" customWidth="1"/>
    <col min="11522" max="11522" width="43.5546875" style="4727" customWidth="1"/>
    <col min="11523" max="11523" width="10.88671875" style="4727" customWidth="1"/>
    <col min="11524" max="11524" width="12.88671875" style="4727" customWidth="1"/>
    <col min="11525" max="11525" width="12" style="4727" customWidth="1"/>
    <col min="11526" max="11526" width="16.5546875" style="4727" customWidth="1"/>
    <col min="11527" max="11527" width="12.6640625" style="4727" customWidth="1"/>
    <col min="11528" max="11528" width="12.109375" style="4727" customWidth="1"/>
    <col min="11529" max="11529" width="12.5546875" style="4727" customWidth="1"/>
    <col min="11530" max="11776" width="9.109375" style="4727"/>
    <col min="11777" max="11777" width="6.44140625" style="4727" bestFit="1" customWidth="1"/>
    <col min="11778" max="11778" width="43.5546875" style="4727" customWidth="1"/>
    <col min="11779" max="11779" width="10.88671875" style="4727" customWidth="1"/>
    <col min="11780" max="11780" width="12.88671875" style="4727" customWidth="1"/>
    <col min="11781" max="11781" width="12" style="4727" customWidth="1"/>
    <col min="11782" max="11782" width="16.5546875" style="4727" customWidth="1"/>
    <col min="11783" max="11783" width="12.6640625" style="4727" customWidth="1"/>
    <col min="11784" max="11784" width="12.109375" style="4727" customWidth="1"/>
    <col min="11785" max="11785" width="12.5546875" style="4727" customWidth="1"/>
    <col min="11786" max="12032" width="9.109375" style="4727"/>
    <col min="12033" max="12033" width="6.44140625" style="4727" bestFit="1" customWidth="1"/>
    <col min="12034" max="12034" width="43.5546875" style="4727" customWidth="1"/>
    <col min="12035" max="12035" width="10.88671875" style="4727" customWidth="1"/>
    <col min="12036" max="12036" width="12.88671875" style="4727" customWidth="1"/>
    <col min="12037" max="12037" width="12" style="4727" customWidth="1"/>
    <col min="12038" max="12038" width="16.5546875" style="4727" customWidth="1"/>
    <col min="12039" max="12039" width="12.6640625" style="4727" customWidth="1"/>
    <col min="12040" max="12040" width="12.109375" style="4727" customWidth="1"/>
    <col min="12041" max="12041" width="12.5546875" style="4727" customWidth="1"/>
    <col min="12042" max="12288" width="9.109375" style="4727"/>
    <col min="12289" max="12289" width="6.44140625" style="4727" bestFit="1" customWidth="1"/>
    <col min="12290" max="12290" width="43.5546875" style="4727" customWidth="1"/>
    <col min="12291" max="12291" width="10.88671875" style="4727" customWidth="1"/>
    <col min="12292" max="12292" width="12.88671875" style="4727" customWidth="1"/>
    <col min="12293" max="12293" width="12" style="4727" customWidth="1"/>
    <col min="12294" max="12294" width="16.5546875" style="4727" customWidth="1"/>
    <col min="12295" max="12295" width="12.6640625" style="4727" customWidth="1"/>
    <col min="12296" max="12296" width="12.109375" style="4727" customWidth="1"/>
    <col min="12297" max="12297" width="12.5546875" style="4727" customWidth="1"/>
    <col min="12298" max="12544" width="9.109375" style="4727"/>
    <col min="12545" max="12545" width="6.44140625" style="4727" bestFit="1" customWidth="1"/>
    <col min="12546" max="12546" width="43.5546875" style="4727" customWidth="1"/>
    <col min="12547" max="12547" width="10.88671875" style="4727" customWidth="1"/>
    <col min="12548" max="12548" width="12.88671875" style="4727" customWidth="1"/>
    <col min="12549" max="12549" width="12" style="4727" customWidth="1"/>
    <col min="12550" max="12550" width="16.5546875" style="4727" customWidth="1"/>
    <col min="12551" max="12551" width="12.6640625" style="4727" customWidth="1"/>
    <col min="12552" max="12552" width="12.109375" style="4727" customWidth="1"/>
    <col min="12553" max="12553" width="12.5546875" style="4727" customWidth="1"/>
    <col min="12554" max="12800" width="9.109375" style="4727"/>
    <col min="12801" max="12801" width="6.44140625" style="4727" bestFit="1" customWidth="1"/>
    <col min="12802" max="12802" width="43.5546875" style="4727" customWidth="1"/>
    <col min="12803" max="12803" width="10.88671875" style="4727" customWidth="1"/>
    <col min="12804" max="12804" width="12.88671875" style="4727" customWidth="1"/>
    <col min="12805" max="12805" width="12" style="4727" customWidth="1"/>
    <col min="12806" max="12806" width="16.5546875" style="4727" customWidth="1"/>
    <col min="12807" max="12807" width="12.6640625" style="4727" customWidth="1"/>
    <col min="12808" max="12808" width="12.109375" style="4727" customWidth="1"/>
    <col min="12809" max="12809" width="12.5546875" style="4727" customWidth="1"/>
    <col min="12810" max="13056" width="9.109375" style="4727"/>
    <col min="13057" max="13057" width="6.44140625" style="4727" bestFit="1" customWidth="1"/>
    <col min="13058" max="13058" width="43.5546875" style="4727" customWidth="1"/>
    <col min="13059" max="13059" width="10.88671875" style="4727" customWidth="1"/>
    <col min="13060" max="13060" width="12.88671875" style="4727" customWidth="1"/>
    <col min="13061" max="13061" width="12" style="4727" customWidth="1"/>
    <col min="13062" max="13062" width="16.5546875" style="4727" customWidth="1"/>
    <col min="13063" max="13063" width="12.6640625" style="4727" customWidth="1"/>
    <col min="13064" max="13064" width="12.109375" style="4727" customWidth="1"/>
    <col min="13065" max="13065" width="12.5546875" style="4727" customWidth="1"/>
    <col min="13066" max="13312" width="9.109375" style="4727"/>
    <col min="13313" max="13313" width="6.44140625" style="4727" bestFit="1" customWidth="1"/>
    <col min="13314" max="13314" width="43.5546875" style="4727" customWidth="1"/>
    <col min="13315" max="13315" width="10.88671875" style="4727" customWidth="1"/>
    <col min="13316" max="13316" width="12.88671875" style="4727" customWidth="1"/>
    <col min="13317" max="13317" width="12" style="4727" customWidth="1"/>
    <col min="13318" max="13318" width="16.5546875" style="4727" customWidth="1"/>
    <col min="13319" max="13319" width="12.6640625" style="4727" customWidth="1"/>
    <col min="13320" max="13320" width="12.109375" style="4727" customWidth="1"/>
    <col min="13321" max="13321" width="12.5546875" style="4727" customWidth="1"/>
    <col min="13322" max="13568" width="9.109375" style="4727"/>
    <col min="13569" max="13569" width="6.44140625" style="4727" bestFit="1" customWidth="1"/>
    <col min="13570" max="13570" width="43.5546875" style="4727" customWidth="1"/>
    <col min="13571" max="13571" width="10.88671875" style="4727" customWidth="1"/>
    <col min="13572" max="13572" width="12.88671875" style="4727" customWidth="1"/>
    <col min="13573" max="13573" width="12" style="4727" customWidth="1"/>
    <col min="13574" max="13574" width="16.5546875" style="4727" customWidth="1"/>
    <col min="13575" max="13575" width="12.6640625" style="4727" customWidth="1"/>
    <col min="13576" max="13576" width="12.109375" style="4727" customWidth="1"/>
    <col min="13577" max="13577" width="12.5546875" style="4727" customWidth="1"/>
    <col min="13578" max="13824" width="9.109375" style="4727"/>
    <col min="13825" max="13825" width="6.44140625" style="4727" bestFit="1" customWidth="1"/>
    <col min="13826" max="13826" width="43.5546875" style="4727" customWidth="1"/>
    <col min="13827" max="13827" width="10.88671875" style="4727" customWidth="1"/>
    <col min="13828" max="13828" width="12.88671875" style="4727" customWidth="1"/>
    <col min="13829" max="13829" width="12" style="4727" customWidth="1"/>
    <col min="13830" max="13830" width="16.5546875" style="4727" customWidth="1"/>
    <col min="13831" max="13831" width="12.6640625" style="4727" customWidth="1"/>
    <col min="13832" max="13832" width="12.109375" style="4727" customWidth="1"/>
    <col min="13833" max="13833" width="12.5546875" style="4727" customWidth="1"/>
    <col min="13834" max="14080" width="9.109375" style="4727"/>
    <col min="14081" max="14081" width="6.44140625" style="4727" bestFit="1" customWidth="1"/>
    <col min="14082" max="14082" width="43.5546875" style="4727" customWidth="1"/>
    <col min="14083" max="14083" width="10.88671875" style="4727" customWidth="1"/>
    <col min="14084" max="14084" width="12.88671875" style="4727" customWidth="1"/>
    <col min="14085" max="14085" width="12" style="4727" customWidth="1"/>
    <col min="14086" max="14086" width="16.5546875" style="4727" customWidth="1"/>
    <col min="14087" max="14087" width="12.6640625" style="4727" customWidth="1"/>
    <col min="14088" max="14088" width="12.109375" style="4727" customWidth="1"/>
    <col min="14089" max="14089" width="12.5546875" style="4727" customWidth="1"/>
    <col min="14090" max="14336" width="9.109375" style="4727"/>
    <col min="14337" max="14337" width="6.44140625" style="4727" bestFit="1" customWidth="1"/>
    <col min="14338" max="14338" width="43.5546875" style="4727" customWidth="1"/>
    <col min="14339" max="14339" width="10.88671875" style="4727" customWidth="1"/>
    <col min="14340" max="14340" width="12.88671875" style="4727" customWidth="1"/>
    <col min="14341" max="14341" width="12" style="4727" customWidth="1"/>
    <col min="14342" max="14342" width="16.5546875" style="4727" customWidth="1"/>
    <col min="14343" max="14343" width="12.6640625" style="4727" customWidth="1"/>
    <col min="14344" max="14344" width="12.109375" style="4727" customWidth="1"/>
    <col min="14345" max="14345" width="12.5546875" style="4727" customWidth="1"/>
    <col min="14346" max="14592" width="9.109375" style="4727"/>
    <col min="14593" max="14593" width="6.44140625" style="4727" bestFit="1" customWidth="1"/>
    <col min="14594" max="14594" width="43.5546875" style="4727" customWidth="1"/>
    <col min="14595" max="14595" width="10.88671875" style="4727" customWidth="1"/>
    <col min="14596" max="14596" width="12.88671875" style="4727" customWidth="1"/>
    <col min="14597" max="14597" width="12" style="4727" customWidth="1"/>
    <col min="14598" max="14598" width="16.5546875" style="4727" customWidth="1"/>
    <col min="14599" max="14599" width="12.6640625" style="4727" customWidth="1"/>
    <col min="14600" max="14600" width="12.109375" style="4727" customWidth="1"/>
    <col min="14601" max="14601" width="12.5546875" style="4727" customWidth="1"/>
    <col min="14602" max="14848" width="9.109375" style="4727"/>
    <col min="14849" max="14849" width="6.44140625" style="4727" bestFit="1" customWidth="1"/>
    <col min="14850" max="14850" width="43.5546875" style="4727" customWidth="1"/>
    <col min="14851" max="14851" width="10.88671875" style="4727" customWidth="1"/>
    <col min="14852" max="14852" width="12.88671875" style="4727" customWidth="1"/>
    <col min="14853" max="14853" width="12" style="4727" customWidth="1"/>
    <col min="14854" max="14854" width="16.5546875" style="4727" customWidth="1"/>
    <col min="14855" max="14855" width="12.6640625" style="4727" customWidth="1"/>
    <col min="14856" max="14856" width="12.109375" style="4727" customWidth="1"/>
    <col min="14857" max="14857" width="12.5546875" style="4727" customWidth="1"/>
    <col min="14858" max="15104" width="9.109375" style="4727"/>
    <col min="15105" max="15105" width="6.44140625" style="4727" bestFit="1" customWidth="1"/>
    <col min="15106" max="15106" width="43.5546875" style="4727" customWidth="1"/>
    <col min="15107" max="15107" width="10.88671875" style="4727" customWidth="1"/>
    <col min="15108" max="15108" width="12.88671875" style="4727" customWidth="1"/>
    <col min="15109" max="15109" width="12" style="4727" customWidth="1"/>
    <col min="15110" max="15110" width="16.5546875" style="4727" customWidth="1"/>
    <col min="15111" max="15111" width="12.6640625" style="4727" customWidth="1"/>
    <col min="15112" max="15112" width="12.109375" style="4727" customWidth="1"/>
    <col min="15113" max="15113" width="12.5546875" style="4727" customWidth="1"/>
    <col min="15114" max="15360" width="9.109375" style="4727"/>
    <col min="15361" max="15361" width="6.44140625" style="4727" bestFit="1" customWidth="1"/>
    <col min="15362" max="15362" width="43.5546875" style="4727" customWidth="1"/>
    <col min="15363" max="15363" width="10.88671875" style="4727" customWidth="1"/>
    <col min="15364" max="15364" width="12.88671875" style="4727" customWidth="1"/>
    <col min="15365" max="15365" width="12" style="4727" customWidth="1"/>
    <col min="15366" max="15366" width="16.5546875" style="4727" customWidth="1"/>
    <col min="15367" max="15367" width="12.6640625" style="4727" customWidth="1"/>
    <col min="15368" max="15368" width="12.109375" style="4727" customWidth="1"/>
    <col min="15369" max="15369" width="12.5546875" style="4727" customWidth="1"/>
    <col min="15370" max="15616" width="9.109375" style="4727"/>
    <col min="15617" max="15617" width="6.44140625" style="4727" bestFit="1" customWidth="1"/>
    <col min="15618" max="15618" width="43.5546875" style="4727" customWidth="1"/>
    <col min="15619" max="15619" width="10.88671875" style="4727" customWidth="1"/>
    <col min="15620" max="15620" width="12.88671875" style="4727" customWidth="1"/>
    <col min="15621" max="15621" width="12" style="4727" customWidth="1"/>
    <col min="15622" max="15622" width="16.5546875" style="4727" customWidth="1"/>
    <col min="15623" max="15623" width="12.6640625" style="4727" customWidth="1"/>
    <col min="15624" max="15624" width="12.109375" style="4727" customWidth="1"/>
    <col min="15625" max="15625" width="12.5546875" style="4727" customWidth="1"/>
    <col min="15626" max="15872" width="9.109375" style="4727"/>
    <col min="15873" max="15873" width="6.44140625" style="4727" bestFit="1" customWidth="1"/>
    <col min="15874" max="15874" width="43.5546875" style="4727" customWidth="1"/>
    <col min="15875" max="15875" width="10.88671875" style="4727" customWidth="1"/>
    <col min="15876" max="15876" width="12.88671875" style="4727" customWidth="1"/>
    <col min="15877" max="15877" width="12" style="4727" customWidth="1"/>
    <col min="15878" max="15878" width="16.5546875" style="4727" customWidth="1"/>
    <col min="15879" max="15879" width="12.6640625" style="4727" customWidth="1"/>
    <col min="15880" max="15880" width="12.109375" style="4727" customWidth="1"/>
    <col min="15881" max="15881" width="12.5546875" style="4727" customWidth="1"/>
    <col min="15882" max="16128" width="9.109375" style="4727"/>
    <col min="16129" max="16129" width="6.44140625" style="4727" bestFit="1" customWidth="1"/>
    <col min="16130" max="16130" width="43.5546875" style="4727" customWidth="1"/>
    <col min="16131" max="16131" width="10.88671875" style="4727" customWidth="1"/>
    <col min="16132" max="16132" width="12.88671875" style="4727" customWidth="1"/>
    <col min="16133" max="16133" width="12" style="4727" customWidth="1"/>
    <col min="16134" max="16134" width="16.5546875" style="4727" customWidth="1"/>
    <col min="16135" max="16135" width="12.6640625" style="4727" customWidth="1"/>
    <col min="16136" max="16136" width="12.109375" style="4727" customWidth="1"/>
    <col min="16137" max="16137" width="12.5546875" style="4727" customWidth="1"/>
    <col min="16138" max="16384" width="9.109375" style="4727"/>
  </cols>
  <sheetData>
    <row r="1" spans="1:10">
      <c r="A1" s="4726"/>
    </row>
    <row r="2" spans="1:10">
      <c r="A2" s="6485" t="s">
        <v>3076</v>
      </c>
      <c r="B2" s="6485"/>
      <c r="C2" s="6485"/>
      <c r="D2" s="6485"/>
      <c r="E2" s="6485"/>
      <c r="F2" s="6485"/>
      <c r="G2" s="6485"/>
      <c r="H2" s="6485"/>
      <c r="I2" s="6485"/>
      <c r="J2" s="6485"/>
    </row>
    <row r="3" spans="1:10">
      <c r="A3" s="4728"/>
      <c r="B3" s="4728"/>
      <c r="C3" s="4729"/>
      <c r="D3" s="4728"/>
      <c r="E3" s="4728"/>
      <c r="F3" s="4728"/>
      <c r="G3" s="4728"/>
      <c r="H3" s="4728"/>
      <c r="I3" s="4728"/>
      <c r="J3" s="4730" t="s">
        <v>372</v>
      </c>
    </row>
    <row r="4" spans="1:10">
      <c r="A4" s="6486" t="s">
        <v>247</v>
      </c>
      <c r="B4" s="6487" t="s">
        <v>248</v>
      </c>
      <c r="C4" s="6488" t="s">
        <v>3077</v>
      </c>
      <c r="D4" s="6490" t="s">
        <v>3078</v>
      </c>
      <c r="E4" s="6491"/>
      <c r="F4" s="6491"/>
      <c r="G4" s="6491"/>
      <c r="H4" s="6491"/>
      <c r="I4" s="6492"/>
      <c r="J4" s="6487" t="s">
        <v>3079</v>
      </c>
    </row>
    <row r="5" spans="1:10">
      <c r="A5" s="6486"/>
      <c r="B5" s="6487"/>
      <c r="C5" s="6489"/>
      <c r="D5" s="4731" t="s">
        <v>3080</v>
      </c>
      <c r="E5" s="4731" t="s">
        <v>77</v>
      </c>
      <c r="F5" s="4731" t="s">
        <v>81</v>
      </c>
      <c r="G5" s="4731" t="s">
        <v>57</v>
      </c>
      <c r="H5" s="4731" t="s">
        <v>58</v>
      </c>
      <c r="I5" s="4731" t="s">
        <v>82</v>
      </c>
      <c r="J5" s="6487"/>
    </row>
    <row r="6" spans="1:10" s="4734" customFormat="1">
      <c r="A6" s="4732" t="s">
        <v>1</v>
      </c>
      <c r="B6" s="4732" t="s">
        <v>37</v>
      </c>
      <c r="C6" s="4733">
        <v>2</v>
      </c>
      <c r="D6" s="4732" t="s">
        <v>3081</v>
      </c>
      <c r="E6" s="4733">
        <v>4</v>
      </c>
      <c r="F6" s="4732">
        <v>5</v>
      </c>
      <c r="G6" s="4733">
        <v>6</v>
      </c>
      <c r="H6" s="4732">
        <v>7</v>
      </c>
      <c r="I6" s="4733">
        <v>8</v>
      </c>
      <c r="J6" s="4732">
        <v>9</v>
      </c>
    </row>
    <row r="7" spans="1:10" s="4734" customFormat="1" ht="33.6">
      <c r="A7" s="4735" t="s">
        <v>1</v>
      </c>
      <c r="B7" s="4736" t="s">
        <v>3082</v>
      </c>
      <c r="C7" s="4737"/>
      <c r="D7" s="4737"/>
      <c r="E7" s="4738"/>
      <c r="F7" s="4738"/>
      <c r="G7" s="4738"/>
      <c r="H7" s="4738"/>
      <c r="I7" s="4738"/>
      <c r="J7" s="4738"/>
    </row>
    <row r="8" spans="1:10" s="4734" customFormat="1">
      <c r="A8" s="4735" t="s">
        <v>37</v>
      </c>
      <c r="B8" s="4736" t="s">
        <v>3083</v>
      </c>
      <c r="C8" s="4737"/>
      <c r="D8" s="4737"/>
      <c r="E8" s="4738"/>
      <c r="F8" s="4738"/>
      <c r="G8" s="4738"/>
      <c r="H8" s="4738"/>
      <c r="I8" s="4738"/>
      <c r="J8" s="4738"/>
    </row>
    <row r="9" spans="1:10">
      <c r="A9" s="4735" t="s">
        <v>29</v>
      </c>
      <c r="B9" s="4739" t="s">
        <v>3084</v>
      </c>
      <c r="C9" s="4740"/>
      <c r="D9" s="4740"/>
      <c r="E9" s="4741"/>
      <c r="F9" s="4741"/>
      <c r="G9" s="4741"/>
      <c r="H9" s="4741"/>
      <c r="I9" s="4741"/>
      <c r="J9" s="4741"/>
    </row>
    <row r="10" spans="1:10" s="4742" customFormat="1">
      <c r="A10" s="4735" t="s">
        <v>29</v>
      </c>
      <c r="B10" s="4739" t="s">
        <v>3085</v>
      </c>
      <c r="C10" s="4740"/>
      <c r="D10" s="4740"/>
      <c r="E10" s="4741"/>
      <c r="F10" s="4741"/>
      <c r="G10" s="4741"/>
      <c r="H10" s="4741"/>
      <c r="I10" s="4741"/>
      <c r="J10" s="4741"/>
    </row>
    <row r="11" spans="1:10" s="4742" customFormat="1">
      <c r="A11" s="4735" t="s">
        <v>29</v>
      </c>
      <c r="B11" s="4739" t="s">
        <v>3086</v>
      </c>
      <c r="C11" s="4740"/>
      <c r="D11" s="4740"/>
      <c r="E11" s="4741"/>
      <c r="F11" s="4741"/>
      <c r="G11" s="4741"/>
      <c r="H11" s="4741"/>
      <c r="I11" s="4741"/>
      <c r="J11" s="4741"/>
    </row>
    <row r="12" spans="1:10" s="4743" customFormat="1">
      <c r="A12" s="4735">
        <v>1</v>
      </c>
      <c r="B12" s="4736" t="s">
        <v>4</v>
      </c>
      <c r="C12" s="4737"/>
      <c r="D12" s="4737"/>
      <c r="E12" s="4738"/>
      <c r="F12" s="4738"/>
      <c r="G12" s="4738"/>
      <c r="H12" s="4738"/>
      <c r="I12" s="4738"/>
      <c r="J12" s="4738"/>
    </row>
    <row r="13" spans="1:10">
      <c r="A13" s="4735" t="s">
        <v>29</v>
      </c>
      <c r="B13" s="4739" t="s">
        <v>3087</v>
      </c>
      <c r="C13" s="4740"/>
      <c r="D13" s="4740"/>
      <c r="E13" s="4741"/>
      <c r="F13" s="4741"/>
      <c r="G13" s="4741"/>
      <c r="H13" s="4741"/>
      <c r="I13" s="4741"/>
      <c r="J13" s="4741"/>
    </row>
    <row r="14" spans="1:10" ht="33.6">
      <c r="A14" s="4735" t="s">
        <v>29</v>
      </c>
      <c r="B14" s="4739" t="s">
        <v>3088</v>
      </c>
      <c r="C14" s="4740"/>
      <c r="D14" s="4740"/>
      <c r="E14" s="4741"/>
      <c r="F14" s="4741"/>
      <c r="G14" s="4741"/>
      <c r="H14" s="4741"/>
      <c r="I14" s="4741"/>
      <c r="J14" s="4741"/>
    </row>
    <row r="15" spans="1:10" s="4742" customFormat="1">
      <c r="A15" s="4744"/>
      <c r="B15" s="4745" t="s">
        <v>1484</v>
      </c>
      <c r="C15" s="4746"/>
      <c r="D15" s="4746"/>
      <c r="E15" s="4747"/>
      <c r="F15" s="4747"/>
      <c r="G15" s="4747"/>
      <c r="H15" s="4747"/>
      <c r="I15" s="4747"/>
      <c r="J15" s="4747"/>
    </row>
    <row r="16" spans="1:10" s="4742" customFormat="1">
      <c r="A16" s="4744"/>
      <c r="B16" s="4745" t="s">
        <v>3089</v>
      </c>
      <c r="C16" s="4746"/>
      <c r="D16" s="4746"/>
      <c r="E16" s="4747"/>
      <c r="F16" s="4747"/>
      <c r="G16" s="4747"/>
      <c r="H16" s="4747"/>
      <c r="I16" s="4747"/>
      <c r="J16" s="4747"/>
    </row>
    <row r="17" spans="1:10" s="4743" customFormat="1">
      <c r="A17" s="4735" t="s">
        <v>33</v>
      </c>
      <c r="B17" s="4736" t="s">
        <v>3090</v>
      </c>
      <c r="C17" s="4737"/>
      <c r="D17" s="4737"/>
      <c r="E17" s="4738"/>
      <c r="F17" s="4738"/>
      <c r="G17" s="4738"/>
      <c r="H17" s="4738"/>
      <c r="I17" s="4738"/>
      <c r="J17" s="4738"/>
    </row>
    <row r="18" spans="1:10" s="4742" customFormat="1">
      <c r="A18" s="4735" t="s">
        <v>29</v>
      </c>
      <c r="B18" s="4739" t="s">
        <v>3087</v>
      </c>
      <c r="C18" s="4740"/>
      <c r="D18" s="4740"/>
      <c r="E18" s="4741"/>
      <c r="F18" s="4741"/>
      <c r="G18" s="4741"/>
      <c r="H18" s="4741"/>
      <c r="I18" s="4741"/>
      <c r="J18" s="4741"/>
    </row>
    <row r="19" spans="1:10" s="4742" customFormat="1" ht="33.6">
      <c r="A19" s="4735" t="s">
        <v>29</v>
      </c>
      <c r="B19" s="4739" t="s">
        <v>3088</v>
      </c>
      <c r="C19" s="4740"/>
      <c r="D19" s="4740"/>
      <c r="E19" s="4741"/>
      <c r="F19" s="4741"/>
      <c r="G19" s="4741"/>
      <c r="H19" s="4741"/>
      <c r="I19" s="4741"/>
      <c r="J19" s="4741"/>
    </row>
    <row r="20" spans="1:10" s="4734" customFormat="1" ht="33.6">
      <c r="A20" s="4735" t="s">
        <v>182</v>
      </c>
      <c r="B20" s="4736" t="s">
        <v>3091</v>
      </c>
      <c r="C20" s="4737"/>
      <c r="D20" s="4737"/>
      <c r="E20" s="4738"/>
      <c r="F20" s="4738"/>
      <c r="G20" s="4738"/>
      <c r="H20" s="4738"/>
      <c r="I20" s="4738"/>
      <c r="J20" s="4738"/>
    </row>
    <row r="21" spans="1:10" s="4742" customFormat="1">
      <c r="A21" s="4735" t="s">
        <v>29</v>
      </c>
      <c r="B21" s="4739" t="s">
        <v>3087</v>
      </c>
      <c r="C21" s="4740"/>
      <c r="D21" s="4740"/>
      <c r="E21" s="4741"/>
      <c r="F21" s="4741"/>
      <c r="G21" s="4741"/>
      <c r="H21" s="4741"/>
      <c r="I21" s="4741"/>
      <c r="J21" s="4741"/>
    </row>
    <row r="22" spans="1:10" ht="33.6">
      <c r="A22" s="4735" t="s">
        <v>29</v>
      </c>
      <c r="B22" s="4739" t="s">
        <v>3088</v>
      </c>
      <c r="C22" s="4740"/>
      <c r="D22" s="4740"/>
      <c r="E22" s="4741"/>
      <c r="F22" s="4741"/>
      <c r="G22" s="4741"/>
      <c r="H22" s="4741"/>
      <c r="I22" s="4741"/>
      <c r="J22" s="4741"/>
    </row>
    <row r="23" spans="1:10" s="4743" customFormat="1">
      <c r="A23" s="4735" t="s">
        <v>215</v>
      </c>
      <c r="B23" s="4736" t="s">
        <v>3092</v>
      </c>
      <c r="C23" s="4737"/>
      <c r="D23" s="4737"/>
      <c r="E23" s="4738"/>
      <c r="F23" s="4738"/>
      <c r="G23" s="4738"/>
      <c r="H23" s="4738"/>
      <c r="I23" s="4738"/>
      <c r="J23" s="4738"/>
    </row>
    <row r="24" spans="1:10">
      <c r="A24" s="4735" t="s">
        <v>29</v>
      </c>
      <c r="B24" s="4739" t="s">
        <v>3087</v>
      </c>
      <c r="C24" s="4740"/>
      <c r="D24" s="4740"/>
      <c r="E24" s="4741"/>
      <c r="F24" s="4741"/>
      <c r="G24" s="4741"/>
      <c r="H24" s="4741"/>
      <c r="I24" s="4741"/>
      <c r="J24" s="4741"/>
    </row>
    <row r="25" spans="1:10" ht="33.6">
      <c r="A25" s="4735" t="s">
        <v>29</v>
      </c>
      <c r="B25" s="4739" t="s">
        <v>3088</v>
      </c>
      <c r="C25" s="4740"/>
      <c r="D25" s="4740"/>
      <c r="E25" s="4741"/>
      <c r="F25" s="4741"/>
      <c r="G25" s="4741"/>
      <c r="H25" s="4741"/>
      <c r="I25" s="4741"/>
      <c r="J25" s="4741"/>
    </row>
    <row r="26" spans="1:10" s="4734" customFormat="1">
      <c r="A26" s="4735" t="s">
        <v>44</v>
      </c>
      <c r="B26" s="4736" t="s">
        <v>3093</v>
      </c>
      <c r="C26" s="4737"/>
      <c r="D26" s="4737"/>
      <c r="E26" s="4738"/>
      <c r="F26" s="4738"/>
      <c r="G26" s="4738"/>
      <c r="H26" s="4738"/>
      <c r="I26" s="4738"/>
      <c r="J26" s="4738"/>
    </row>
    <row r="27" spans="1:10">
      <c r="A27" s="4735" t="s">
        <v>29</v>
      </c>
      <c r="B27" s="4739" t="s">
        <v>3094</v>
      </c>
      <c r="C27" s="4740"/>
      <c r="D27" s="4740"/>
      <c r="E27" s="4741"/>
      <c r="F27" s="4741"/>
      <c r="G27" s="4741"/>
      <c r="H27" s="4741"/>
      <c r="I27" s="4741"/>
      <c r="J27" s="4741"/>
    </row>
    <row r="28" spans="1:10">
      <c r="A28" s="4735" t="s">
        <v>29</v>
      </c>
      <c r="B28" s="4739" t="s">
        <v>3095</v>
      </c>
      <c r="C28" s="4740"/>
      <c r="D28" s="4740"/>
      <c r="E28" s="4741"/>
      <c r="F28" s="4741"/>
      <c r="G28" s="4741"/>
      <c r="H28" s="4741"/>
      <c r="I28" s="4741"/>
      <c r="J28" s="4741"/>
    </row>
    <row r="29" spans="1:10" s="4734" customFormat="1">
      <c r="A29" s="4735" t="s">
        <v>3</v>
      </c>
      <c r="B29" s="4736" t="s">
        <v>3096</v>
      </c>
      <c r="C29" s="4737"/>
      <c r="D29" s="4737"/>
      <c r="E29" s="4738"/>
      <c r="F29" s="4738"/>
      <c r="G29" s="4738"/>
      <c r="H29" s="4738"/>
      <c r="I29" s="4738"/>
      <c r="J29" s="4738"/>
    </row>
    <row r="30" spans="1:10">
      <c r="A30" s="4735" t="s">
        <v>29</v>
      </c>
      <c r="B30" s="4739" t="s">
        <v>3097</v>
      </c>
      <c r="C30" s="4740"/>
      <c r="D30" s="4740"/>
      <c r="E30" s="4741"/>
      <c r="F30" s="4741"/>
      <c r="G30" s="4741"/>
      <c r="H30" s="4741"/>
      <c r="I30" s="4741"/>
      <c r="J30" s="4741"/>
    </row>
    <row r="31" spans="1:10">
      <c r="A31" s="4735" t="s">
        <v>29</v>
      </c>
      <c r="B31" s="4739" t="s">
        <v>3098</v>
      </c>
      <c r="C31" s="4740"/>
      <c r="D31" s="4740"/>
      <c r="E31" s="4741"/>
      <c r="F31" s="4741"/>
      <c r="G31" s="4741"/>
      <c r="H31" s="4741"/>
      <c r="I31" s="4741"/>
      <c r="J31" s="4741"/>
    </row>
    <row r="32" spans="1:10" s="4734" customFormat="1">
      <c r="A32" s="4735" t="s">
        <v>33</v>
      </c>
      <c r="B32" s="4736" t="s">
        <v>3099</v>
      </c>
      <c r="C32" s="4737"/>
      <c r="D32" s="4737"/>
      <c r="E32" s="4738"/>
      <c r="F32" s="4738"/>
      <c r="G32" s="4738"/>
      <c r="H32" s="4738"/>
      <c r="I32" s="4738"/>
      <c r="J32" s="4738"/>
    </row>
    <row r="33" spans="1:10">
      <c r="A33" s="4735" t="s">
        <v>29</v>
      </c>
      <c r="B33" s="4739" t="s">
        <v>3097</v>
      </c>
      <c r="C33" s="4740"/>
      <c r="D33" s="4740"/>
      <c r="E33" s="4741"/>
      <c r="F33" s="4741"/>
      <c r="G33" s="4741"/>
      <c r="H33" s="4741"/>
      <c r="I33" s="4741"/>
      <c r="J33" s="4741"/>
    </row>
    <row r="34" spans="1:10">
      <c r="A34" s="4735" t="s">
        <v>29</v>
      </c>
      <c r="B34" s="4739" t="s">
        <v>3098</v>
      </c>
      <c r="C34" s="4740"/>
      <c r="D34" s="4740"/>
      <c r="E34" s="4741"/>
      <c r="F34" s="4741"/>
      <c r="G34" s="4741"/>
      <c r="H34" s="4741"/>
      <c r="I34" s="4741"/>
      <c r="J34" s="4741"/>
    </row>
    <row r="35" spans="1:10">
      <c r="A35" s="4735" t="s">
        <v>29</v>
      </c>
      <c r="B35" s="4739" t="s">
        <v>3100</v>
      </c>
      <c r="C35" s="4740"/>
      <c r="D35" s="4740"/>
      <c r="E35" s="4741"/>
      <c r="F35" s="4741"/>
      <c r="G35" s="4741"/>
      <c r="H35" s="4741"/>
      <c r="I35" s="4741"/>
      <c r="J35" s="4741"/>
    </row>
    <row r="36" spans="1:10" s="4748" customFormat="1">
      <c r="A36" s="4735" t="s">
        <v>3101</v>
      </c>
      <c r="B36" s="4739" t="s">
        <v>804</v>
      </c>
      <c r="C36" s="4740"/>
      <c r="D36" s="4740"/>
      <c r="E36" s="4741"/>
      <c r="F36" s="4741"/>
      <c r="G36" s="4741"/>
      <c r="H36" s="4741"/>
      <c r="I36" s="4741"/>
      <c r="J36" s="4741"/>
    </row>
    <row r="37" spans="1:10" s="4749" customFormat="1">
      <c r="A37" s="4735" t="s">
        <v>46</v>
      </c>
      <c r="B37" s="4736" t="s">
        <v>3102</v>
      </c>
      <c r="C37" s="4737"/>
      <c r="D37" s="4737"/>
      <c r="E37" s="4738"/>
      <c r="F37" s="4738"/>
      <c r="G37" s="4738"/>
      <c r="H37" s="4738"/>
      <c r="I37" s="4738"/>
      <c r="J37" s="4738"/>
    </row>
    <row r="38" spans="1:10" s="4748" customFormat="1">
      <c r="A38" s="4735" t="s">
        <v>29</v>
      </c>
      <c r="B38" s="4739" t="s">
        <v>3094</v>
      </c>
      <c r="C38" s="4740"/>
      <c r="D38" s="4740"/>
      <c r="E38" s="4741"/>
      <c r="F38" s="4741"/>
      <c r="G38" s="4741"/>
      <c r="H38" s="4741"/>
      <c r="I38" s="4741"/>
      <c r="J38" s="4741"/>
    </row>
    <row r="39" spans="1:10" s="4748" customFormat="1">
      <c r="A39" s="4735" t="s">
        <v>29</v>
      </c>
      <c r="B39" s="4739" t="s">
        <v>3103</v>
      </c>
      <c r="C39" s="4740"/>
      <c r="D39" s="4740"/>
      <c r="E39" s="4741"/>
      <c r="F39" s="4741"/>
      <c r="G39" s="4741"/>
      <c r="H39" s="4741"/>
      <c r="I39" s="4741"/>
      <c r="J39" s="4741"/>
    </row>
    <row r="40" spans="1:10" s="4734" customFormat="1">
      <c r="A40" s="4735" t="s">
        <v>3</v>
      </c>
      <c r="B40" s="4736" t="s">
        <v>1668</v>
      </c>
      <c r="C40" s="4737"/>
      <c r="D40" s="4737"/>
      <c r="E40" s="4738"/>
      <c r="F40" s="4738"/>
      <c r="G40" s="4738"/>
      <c r="H40" s="4738"/>
      <c r="I40" s="4738"/>
      <c r="J40" s="4738"/>
    </row>
    <row r="41" spans="1:10">
      <c r="A41" s="4735" t="s">
        <v>29</v>
      </c>
      <c r="B41" s="4739" t="s">
        <v>3097</v>
      </c>
      <c r="C41" s="4740"/>
      <c r="D41" s="4740"/>
      <c r="E41" s="4741"/>
      <c r="F41" s="4741"/>
      <c r="G41" s="4741"/>
      <c r="H41" s="4741"/>
      <c r="I41" s="4741"/>
      <c r="J41" s="4741"/>
    </row>
    <row r="42" spans="1:10">
      <c r="A42" s="4735" t="s">
        <v>29</v>
      </c>
      <c r="B42" s="4739" t="s">
        <v>3104</v>
      </c>
      <c r="C42" s="4740"/>
      <c r="D42" s="4740"/>
      <c r="E42" s="4741"/>
      <c r="F42" s="4741"/>
      <c r="G42" s="4741"/>
      <c r="H42" s="4741"/>
      <c r="I42" s="4741"/>
      <c r="J42" s="4741"/>
    </row>
    <row r="43" spans="1:10" s="4734" customFormat="1">
      <c r="A43" s="4735" t="s">
        <v>33</v>
      </c>
      <c r="B43" s="4736" t="s">
        <v>209</v>
      </c>
      <c r="C43" s="4737"/>
      <c r="D43" s="4737"/>
      <c r="E43" s="4738"/>
      <c r="F43" s="4738"/>
      <c r="G43" s="4738"/>
      <c r="H43" s="4738"/>
      <c r="I43" s="4738"/>
      <c r="J43" s="4738"/>
    </row>
    <row r="44" spans="1:10">
      <c r="A44" s="4735" t="s">
        <v>29</v>
      </c>
      <c r="B44" s="4739" t="s">
        <v>3097</v>
      </c>
      <c r="C44" s="4740"/>
      <c r="D44" s="4740"/>
      <c r="E44" s="4741"/>
      <c r="F44" s="4741"/>
      <c r="G44" s="4741"/>
      <c r="H44" s="4741"/>
      <c r="I44" s="4741"/>
      <c r="J44" s="4741"/>
    </row>
    <row r="45" spans="1:10">
      <c r="A45" s="4735" t="s">
        <v>29</v>
      </c>
      <c r="B45" s="4739" t="s">
        <v>3104</v>
      </c>
      <c r="C45" s="4740"/>
      <c r="D45" s="4740"/>
      <c r="E45" s="4741"/>
      <c r="F45" s="4741"/>
      <c r="G45" s="4741"/>
      <c r="H45" s="4741"/>
      <c r="I45" s="4741"/>
      <c r="J45" s="4741"/>
    </row>
    <row r="46" spans="1:10" s="4734" customFormat="1" ht="33.6">
      <c r="A46" s="4735" t="s">
        <v>182</v>
      </c>
      <c r="B46" s="4736" t="s">
        <v>3105</v>
      </c>
      <c r="C46" s="4737"/>
      <c r="D46" s="4737"/>
      <c r="E46" s="4738"/>
      <c r="F46" s="4738"/>
      <c r="G46" s="4738"/>
      <c r="H46" s="4738"/>
      <c r="I46" s="4738"/>
      <c r="J46" s="4738"/>
    </row>
    <row r="47" spans="1:10">
      <c r="A47" s="4735" t="s">
        <v>29</v>
      </c>
      <c r="B47" s="4739" t="s">
        <v>3097</v>
      </c>
      <c r="C47" s="4740"/>
      <c r="D47" s="4740"/>
      <c r="E47" s="4741"/>
      <c r="F47" s="4741"/>
      <c r="G47" s="4741"/>
      <c r="H47" s="4741"/>
      <c r="I47" s="4741"/>
      <c r="J47" s="4741"/>
    </row>
    <row r="48" spans="1:10">
      <c r="A48" s="4735" t="s">
        <v>29</v>
      </c>
      <c r="B48" s="4739" t="s">
        <v>3104</v>
      </c>
      <c r="C48" s="4740"/>
      <c r="D48" s="4740"/>
      <c r="E48" s="4741"/>
      <c r="F48" s="4741"/>
      <c r="G48" s="4741"/>
      <c r="H48" s="4741"/>
      <c r="I48" s="4741"/>
      <c r="J48" s="4741"/>
    </row>
    <row r="49" spans="1:10" s="4734" customFormat="1">
      <c r="A49" s="4735" t="s">
        <v>215</v>
      </c>
      <c r="B49" s="4736" t="s">
        <v>210</v>
      </c>
      <c r="C49" s="4737"/>
      <c r="D49" s="4737"/>
      <c r="E49" s="4738"/>
      <c r="F49" s="4738"/>
      <c r="G49" s="4738"/>
      <c r="H49" s="4738"/>
      <c r="I49" s="4738"/>
      <c r="J49" s="4738"/>
    </row>
    <row r="50" spans="1:10" s="4734" customFormat="1">
      <c r="A50" s="4735" t="s">
        <v>725</v>
      </c>
      <c r="B50" s="4736" t="s">
        <v>3106</v>
      </c>
      <c r="C50" s="4737"/>
      <c r="D50" s="4737"/>
      <c r="E50" s="4738"/>
      <c r="F50" s="4738"/>
      <c r="G50" s="4738"/>
      <c r="H50" s="4738"/>
      <c r="I50" s="4738"/>
      <c r="J50" s="4738"/>
    </row>
    <row r="51" spans="1:10" s="4734" customFormat="1" ht="33.6">
      <c r="A51" s="4735" t="s">
        <v>727</v>
      </c>
      <c r="B51" s="4736" t="s">
        <v>2151</v>
      </c>
      <c r="C51" s="4737"/>
      <c r="D51" s="4737"/>
      <c r="E51" s="4738"/>
      <c r="F51" s="4738"/>
      <c r="G51" s="4738"/>
      <c r="H51" s="4738"/>
      <c r="I51" s="4738"/>
      <c r="J51" s="4738"/>
    </row>
    <row r="52" spans="1:10" s="4734" customFormat="1">
      <c r="A52" s="4735" t="s">
        <v>3</v>
      </c>
      <c r="B52" s="4736" t="s">
        <v>2021</v>
      </c>
      <c r="C52" s="4737"/>
      <c r="D52" s="4737"/>
      <c r="E52" s="4738"/>
      <c r="F52" s="4738"/>
      <c r="G52" s="4738"/>
      <c r="H52" s="4738"/>
      <c r="I52" s="4738"/>
      <c r="J52" s="4738"/>
    </row>
    <row r="53" spans="1:10" s="4734" customFormat="1">
      <c r="A53" s="4735" t="s">
        <v>33</v>
      </c>
      <c r="B53" s="4736" t="s">
        <v>2022</v>
      </c>
      <c r="C53" s="4737"/>
      <c r="D53" s="4737"/>
      <c r="E53" s="4738"/>
      <c r="F53" s="4738"/>
      <c r="G53" s="4738"/>
      <c r="H53" s="4738"/>
      <c r="I53" s="4738"/>
      <c r="J53" s="4738"/>
    </row>
    <row r="54" spans="1:10" ht="33.6">
      <c r="A54" s="4735" t="s">
        <v>29</v>
      </c>
      <c r="B54" s="4739" t="s">
        <v>2023</v>
      </c>
      <c r="C54" s="4740"/>
      <c r="D54" s="4740"/>
      <c r="E54" s="4741"/>
      <c r="F54" s="4741"/>
      <c r="G54" s="4741"/>
      <c r="H54" s="4741"/>
      <c r="I54" s="4741"/>
      <c r="J54" s="4741"/>
    </row>
    <row r="55" spans="1:10" ht="33.6">
      <c r="A55" s="4735" t="s">
        <v>29</v>
      </c>
      <c r="B55" s="4739" t="s">
        <v>2024</v>
      </c>
      <c r="C55" s="4740"/>
      <c r="D55" s="4740"/>
      <c r="E55" s="4741"/>
      <c r="F55" s="4741"/>
      <c r="G55" s="4741"/>
      <c r="H55" s="4741"/>
      <c r="I55" s="4741"/>
      <c r="J55" s="4741"/>
    </row>
    <row r="56" spans="1:10" s="4734" customFormat="1">
      <c r="A56" s="4735" t="s">
        <v>182</v>
      </c>
      <c r="B56" s="4736" t="s">
        <v>2025</v>
      </c>
      <c r="C56" s="4737"/>
      <c r="D56" s="4737"/>
      <c r="E56" s="4738"/>
      <c r="F56" s="4738"/>
      <c r="G56" s="4738"/>
      <c r="H56" s="4738"/>
      <c r="I56" s="4738"/>
      <c r="J56" s="4738"/>
    </row>
    <row r="57" spans="1:10">
      <c r="A57" s="4735" t="s">
        <v>29</v>
      </c>
      <c r="B57" s="4739" t="s">
        <v>2026</v>
      </c>
      <c r="C57" s="4740"/>
      <c r="D57" s="4740"/>
      <c r="E57" s="4741"/>
      <c r="F57" s="4741"/>
      <c r="G57" s="4741"/>
      <c r="H57" s="4741"/>
      <c r="I57" s="4741"/>
      <c r="J57" s="4741"/>
    </row>
    <row r="58" spans="1:10" ht="33.6">
      <c r="A58" s="4735" t="s">
        <v>29</v>
      </c>
      <c r="B58" s="4739" t="s">
        <v>2027</v>
      </c>
      <c r="C58" s="4740"/>
      <c r="D58" s="4740"/>
      <c r="E58" s="4741"/>
      <c r="F58" s="4741"/>
      <c r="G58" s="4741"/>
      <c r="H58" s="4741"/>
      <c r="I58" s="4741"/>
      <c r="J58" s="4741"/>
    </row>
    <row r="59" spans="1:10" s="4734" customFormat="1">
      <c r="A59" s="4735" t="s">
        <v>215</v>
      </c>
      <c r="B59" s="4736" t="s">
        <v>2028</v>
      </c>
      <c r="C59" s="4737"/>
      <c r="D59" s="4737"/>
      <c r="E59" s="4738"/>
      <c r="F59" s="4738"/>
      <c r="G59" s="4738"/>
      <c r="H59" s="4738"/>
      <c r="I59" s="4738"/>
      <c r="J59" s="4738"/>
    </row>
    <row r="60" spans="1:10">
      <c r="A60" s="4735" t="s">
        <v>29</v>
      </c>
      <c r="B60" s="4739" t="s">
        <v>2029</v>
      </c>
      <c r="C60" s="4740"/>
      <c r="D60" s="4740"/>
      <c r="E60" s="4741"/>
      <c r="F60" s="4741"/>
      <c r="G60" s="4741"/>
      <c r="H60" s="4741"/>
      <c r="I60" s="4741"/>
      <c r="J60" s="4741"/>
    </row>
    <row r="61" spans="1:10">
      <c r="A61" s="4735" t="s">
        <v>29</v>
      </c>
      <c r="B61" s="4739" t="s">
        <v>2030</v>
      </c>
      <c r="C61" s="4740"/>
      <c r="D61" s="4740"/>
      <c r="E61" s="4741"/>
      <c r="F61" s="4741"/>
      <c r="G61" s="4741"/>
      <c r="H61" s="4741"/>
      <c r="I61" s="4741"/>
      <c r="J61" s="4741"/>
    </row>
    <row r="62" spans="1:10" s="4734" customFormat="1">
      <c r="A62" s="4735" t="s">
        <v>718</v>
      </c>
      <c r="B62" s="4736" t="s">
        <v>2031</v>
      </c>
      <c r="C62" s="4737"/>
      <c r="D62" s="4737"/>
      <c r="E62" s="4738"/>
      <c r="F62" s="4738"/>
      <c r="G62" s="4738"/>
      <c r="H62" s="4738"/>
      <c r="I62" s="4738"/>
      <c r="J62" s="4738"/>
    </row>
    <row r="63" spans="1:10" ht="33.6">
      <c r="A63" s="4750" t="s">
        <v>29</v>
      </c>
      <c r="B63" s="4751" t="s">
        <v>2032</v>
      </c>
      <c r="C63" s="4752"/>
      <c r="D63" s="4752"/>
      <c r="E63" s="4753"/>
      <c r="F63" s="4753"/>
      <c r="G63" s="4753"/>
      <c r="H63" s="4753"/>
      <c r="I63" s="4753"/>
      <c r="J63" s="4753"/>
    </row>
    <row r="64" spans="1:10" ht="33.6">
      <c r="A64" s="4754" t="s">
        <v>29</v>
      </c>
      <c r="B64" s="4755" t="s">
        <v>2033</v>
      </c>
      <c r="C64" s="4756"/>
      <c r="D64" s="4756"/>
      <c r="E64" s="4757"/>
      <c r="F64" s="4757"/>
      <c r="G64" s="4757"/>
      <c r="H64" s="4757"/>
      <c r="I64" s="4757"/>
      <c r="J64" s="4757"/>
    </row>
    <row r="65" spans="1:10">
      <c r="A65" s="6484" t="s">
        <v>3107</v>
      </c>
      <c r="B65" s="6484"/>
      <c r="C65" s="6484"/>
      <c r="D65" s="6484"/>
      <c r="E65" s="6484"/>
      <c r="F65" s="6484"/>
      <c r="G65" s="6484"/>
      <c r="H65" s="6484"/>
      <c r="I65" s="6484"/>
      <c r="J65" s="6484"/>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242" t="s">
        <v>136</v>
      </c>
      <c r="B3" s="6496" t="s">
        <v>2649</v>
      </c>
      <c r="C3" s="6496"/>
      <c r="D3" s="6497" t="s">
        <v>2650</v>
      </c>
      <c r="E3" s="6497"/>
      <c r="F3" s="6497" t="s">
        <v>2750</v>
      </c>
      <c r="G3" s="6497"/>
      <c r="J3" s="6497" t="s">
        <v>2682</v>
      </c>
      <c r="K3" s="6497"/>
      <c r="L3" s="6495" t="s">
        <v>2678</v>
      </c>
      <c r="M3" s="6242" t="s">
        <v>2828</v>
      </c>
      <c r="N3" s="6242"/>
      <c r="O3" s="4427" t="s">
        <v>2829</v>
      </c>
      <c r="P3" s="4570"/>
    </row>
    <row r="4" spans="1:16" s="4427" customFormat="1">
      <c r="A4" s="6242"/>
      <c r="B4" s="4440" t="s">
        <v>2710</v>
      </c>
      <c r="C4" s="4440" t="s">
        <v>2681</v>
      </c>
      <c r="D4" s="4440" t="s">
        <v>2710</v>
      </c>
      <c r="E4" s="4440" t="s">
        <v>2681</v>
      </c>
      <c r="F4" s="4440" t="s">
        <v>2680</v>
      </c>
      <c r="G4" s="4440" t="s">
        <v>2681</v>
      </c>
      <c r="H4" s="4440" t="s">
        <v>2651</v>
      </c>
      <c r="I4" s="4441" t="s">
        <v>2652</v>
      </c>
      <c r="J4" s="3050" t="s">
        <v>2683</v>
      </c>
      <c r="K4" s="4440" t="s">
        <v>2681</v>
      </c>
      <c r="L4" s="6495"/>
      <c r="M4" s="30"/>
    </row>
    <row r="5" spans="1:16">
      <c r="B5" s="4442" t="s">
        <v>2751</v>
      </c>
      <c r="C5" s="2177" t="s">
        <v>2752</v>
      </c>
      <c r="D5" s="6494" t="s">
        <v>2733</v>
      </c>
      <c r="E5" s="6494"/>
    </row>
    <row r="6" spans="1:16">
      <c r="B6" s="4442" t="s">
        <v>2753</v>
      </c>
      <c r="C6" s="2177" t="s">
        <v>2754</v>
      </c>
      <c r="D6" s="4442" t="s">
        <v>2711</v>
      </c>
      <c r="E6" s="2177" t="s">
        <v>2721</v>
      </c>
      <c r="F6" s="4443" t="s">
        <v>2668</v>
      </c>
      <c r="G6" s="4443"/>
      <c r="H6" s="4443" t="s">
        <v>2663</v>
      </c>
      <c r="I6" s="4443" t="s">
        <v>2653</v>
      </c>
      <c r="J6" s="4444" t="s">
        <v>2684</v>
      </c>
      <c r="K6" s="4443" t="s">
        <v>2685</v>
      </c>
      <c r="L6" s="4445" t="s">
        <v>387</v>
      </c>
      <c r="M6" s="4428" t="s">
        <v>2830</v>
      </c>
      <c r="N6" s="30" t="s">
        <v>2831</v>
      </c>
      <c r="O6" s="4428" t="s">
        <v>2860</v>
      </c>
    </row>
    <row r="7" spans="1:16">
      <c r="B7" s="4442" t="s">
        <v>2755</v>
      </c>
      <c r="C7" s="2177" t="s">
        <v>2756</v>
      </c>
      <c r="D7" s="4442" t="s">
        <v>2712</v>
      </c>
      <c r="E7" s="2177" t="s">
        <v>2720</v>
      </c>
      <c r="F7" s="4443" t="s">
        <v>2669</v>
      </c>
      <c r="G7" s="4443"/>
      <c r="H7" s="4443" t="s">
        <v>2664</v>
      </c>
      <c r="I7" s="4443" t="s">
        <v>2654</v>
      </c>
      <c r="J7" s="4444" t="s">
        <v>2686</v>
      </c>
      <c r="K7" s="4443" t="s">
        <v>2685</v>
      </c>
      <c r="L7" s="4445" t="s">
        <v>251</v>
      </c>
      <c r="M7" s="4429" t="s">
        <v>2832</v>
      </c>
      <c r="N7" s="30" t="s">
        <v>2833</v>
      </c>
      <c r="O7" s="4428" t="s">
        <v>2861</v>
      </c>
    </row>
    <row r="8" spans="1:16">
      <c r="B8" s="4442" t="s">
        <v>2757</v>
      </c>
      <c r="C8" s="2177" t="s">
        <v>2758</v>
      </c>
      <c r="D8" s="4442" t="s">
        <v>2722</v>
      </c>
      <c r="E8" s="2177" t="s">
        <v>2723</v>
      </c>
      <c r="F8" s="4443" t="s">
        <v>2670</v>
      </c>
      <c r="G8" s="4443"/>
      <c r="H8" s="4443" t="s">
        <v>2665</v>
      </c>
      <c r="I8" s="4443" t="s">
        <v>2655</v>
      </c>
      <c r="J8" s="4444" t="s">
        <v>2687</v>
      </c>
      <c r="K8" s="4443" t="s">
        <v>2685</v>
      </c>
      <c r="L8" s="4445" t="s">
        <v>252</v>
      </c>
      <c r="M8" s="4428" t="s">
        <v>2834</v>
      </c>
      <c r="N8" s="30" t="s">
        <v>2759</v>
      </c>
      <c r="O8" s="4428" t="s">
        <v>2862</v>
      </c>
    </row>
    <row r="9" spans="1:16">
      <c r="B9" s="4442" t="s">
        <v>2760</v>
      </c>
      <c r="C9" s="2177" t="s">
        <v>2759</v>
      </c>
      <c r="D9" s="4442" t="s">
        <v>2724</v>
      </c>
      <c r="E9" s="2177" t="s">
        <v>2725</v>
      </c>
      <c r="F9" s="4443" t="s">
        <v>2671</v>
      </c>
      <c r="G9" s="4443"/>
      <c r="H9" s="4443" t="s">
        <v>2666</v>
      </c>
      <c r="I9" s="4443" t="s">
        <v>2656</v>
      </c>
      <c r="J9" s="4444" t="s">
        <v>2688</v>
      </c>
      <c r="K9" s="4443" t="s">
        <v>2685</v>
      </c>
      <c r="L9" s="4445" t="s">
        <v>253</v>
      </c>
      <c r="M9" s="4428" t="s">
        <v>2834</v>
      </c>
      <c r="N9" s="30" t="s">
        <v>2835</v>
      </c>
      <c r="O9" s="4428" t="s">
        <v>2863</v>
      </c>
    </row>
    <row r="10" spans="1:16">
      <c r="B10" s="4442" t="s">
        <v>2761</v>
      </c>
      <c r="C10" s="2177" t="s">
        <v>2762</v>
      </c>
      <c r="D10" s="4442" t="s">
        <v>2713</v>
      </c>
      <c r="E10" s="2177" t="s">
        <v>2726</v>
      </c>
      <c r="F10" s="4443" t="s">
        <v>2672</v>
      </c>
      <c r="G10" s="4443"/>
      <c r="H10" s="4443" t="s">
        <v>2667</v>
      </c>
      <c r="I10" s="4443" t="s">
        <v>2657</v>
      </c>
      <c r="J10" s="4444" t="s">
        <v>2689</v>
      </c>
      <c r="K10" s="4443" t="s">
        <v>2685</v>
      </c>
      <c r="L10" s="4445" t="s">
        <v>254</v>
      </c>
    </row>
    <row r="11" spans="1:16">
      <c r="B11" s="4442" t="s">
        <v>2763</v>
      </c>
      <c r="C11" s="2177" t="s">
        <v>2764</v>
      </c>
      <c r="D11" s="4442" t="s">
        <v>2714</v>
      </c>
      <c r="E11" s="2177" t="s">
        <v>2727</v>
      </c>
      <c r="F11" s="4443" t="s">
        <v>2673</v>
      </c>
      <c r="G11" s="4443"/>
      <c r="H11" s="4446"/>
      <c r="I11" s="4443" t="s">
        <v>2658</v>
      </c>
      <c r="J11" s="4444" t="s">
        <v>2690</v>
      </c>
      <c r="K11" s="4443" t="s">
        <v>2685</v>
      </c>
      <c r="L11" s="4445" t="s">
        <v>255</v>
      </c>
    </row>
    <row r="12" spans="1:16">
      <c r="B12" s="4442" t="s">
        <v>2765</v>
      </c>
      <c r="C12" s="2177" t="s">
        <v>2772</v>
      </c>
      <c r="D12" s="4442" t="s">
        <v>2715</v>
      </c>
      <c r="E12" s="2177" t="s">
        <v>2728</v>
      </c>
      <c r="F12" s="4443" t="s">
        <v>2674</v>
      </c>
      <c r="G12" s="4443"/>
      <c r="H12" s="4446"/>
      <c r="I12" s="4443" t="s">
        <v>2659</v>
      </c>
      <c r="J12" s="4444" t="s">
        <v>2691</v>
      </c>
      <c r="K12" s="4443" t="s">
        <v>2685</v>
      </c>
      <c r="L12" s="4445" t="s">
        <v>256</v>
      </c>
    </row>
    <row r="13" spans="1:16">
      <c r="B13" s="4442" t="s">
        <v>2766</v>
      </c>
      <c r="C13" s="2177" t="s">
        <v>2773</v>
      </c>
      <c r="D13" s="4442" t="s">
        <v>2716</v>
      </c>
      <c r="E13" s="2177" t="s">
        <v>2729</v>
      </c>
      <c r="F13" s="4443" t="s">
        <v>2675</v>
      </c>
      <c r="G13" s="4443"/>
      <c r="H13" s="4446"/>
      <c r="I13" s="4443" t="s">
        <v>2660</v>
      </c>
      <c r="J13" s="4444" t="s">
        <v>2692</v>
      </c>
      <c r="K13" s="4443" t="s">
        <v>2685</v>
      </c>
      <c r="L13" s="4445" t="s">
        <v>257</v>
      </c>
    </row>
    <row r="14" spans="1:16">
      <c r="B14" s="4442" t="s">
        <v>2767</v>
      </c>
      <c r="C14" s="2177" t="s">
        <v>2774</v>
      </c>
      <c r="D14" s="4442" t="s">
        <v>2717</v>
      </c>
      <c r="E14" s="2177" t="s">
        <v>2730</v>
      </c>
      <c r="F14" s="4443" t="s">
        <v>2676</v>
      </c>
      <c r="G14" s="4443"/>
      <c r="H14" s="4446"/>
      <c r="I14" s="4443" t="s">
        <v>2661</v>
      </c>
      <c r="J14" s="4444" t="s">
        <v>2693</v>
      </c>
      <c r="K14" s="4443" t="s">
        <v>2685</v>
      </c>
      <c r="L14" s="4445" t="s">
        <v>258</v>
      </c>
    </row>
    <row r="15" spans="1:16">
      <c r="B15" s="4442" t="s">
        <v>2768</v>
      </c>
      <c r="C15" s="2177" t="s">
        <v>2775</v>
      </c>
      <c r="D15" s="4442" t="s">
        <v>2718</v>
      </c>
      <c r="E15" s="2177" t="s">
        <v>2731</v>
      </c>
      <c r="F15" s="4443" t="s">
        <v>2677</v>
      </c>
      <c r="G15" s="4443"/>
      <c r="H15" s="4446"/>
      <c r="I15" s="4443" t="s">
        <v>2662</v>
      </c>
      <c r="J15" s="4444" t="s">
        <v>2694</v>
      </c>
      <c r="K15" s="4443" t="s">
        <v>2685</v>
      </c>
      <c r="L15" s="4445" t="s">
        <v>259</v>
      </c>
    </row>
    <row r="16" spans="1:16">
      <c r="B16" s="4442" t="s">
        <v>2769</v>
      </c>
      <c r="C16" s="2177" t="s">
        <v>2776</v>
      </c>
      <c r="D16" s="4442" t="s">
        <v>2719</v>
      </c>
      <c r="E16" s="2177" t="s">
        <v>2732</v>
      </c>
      <c r="J16" s="4444" t="s">
        <v>2695</v>
      </c>
      <c r="K16" s="4443" t="s">
        <v>2685</v>
      </c>
      <c r="L16" s="4445" t="s">
        <v>2679</v>
      </c>
    </row>
    <row r="17" spans="2:12">
      <c r="B17" s="4442" t="s">
        <v>2770</v>
      </c>
      <c r="C17" s="2177" t="s">
        <v>2777</v>
      </c>
      <c r="J17" s="4444" t="s">
        <v>2696</v>
      </c>
      <c r="K17" s="4443" t="s">
        <v>2685</v>
      </c>
      <c r="L17" s="4445" t="s">
        <v>261</v>
      </c>
    </row>
    <row r="18" spans="2:12">
      <c r="B18" s="4442" t="s">
        <v>2771</v>
      </c>
      <c r="C18" s="2177" t="s">
        <v>2778</v>
      </c>
      <c r="D18" s="6494" t="s">
        <v>2734</v>
      </c>
      <c r="E18" s="6494"/>
      <c r="J18" s="4444" t="s">
        <v>2697</v>
      </c>
      <c r="K18" s="4443" t="s">
        <v>2685</v>
      </c>
      <c r="L18" s="4445" t="s">
        <v>262</v>
      </c>
    </row>
    <row r="19" spans="2:12">
      <c r="B19" s="4442" t="s">
        <v>2779</v>
      </c>
      <c r="C19" s="2177" t="s">
        <v>2780</v>
      </c>
      <c r="D19" s="4442" t="s">
        <v>2735</v>
      </c>
      <c r="E19" s="2177" t="s">
        <v>2736</v>
      </c>
      <c r="J19" s="4444" t="s">
        <v>2698</v>
      </c>
      <c r="K19" s="4443" t="s">
        <v>2685</v>
      </c>
    </row>
    <row r="20" spans="2:12">
      <c r="B20" s="4442" t="s">
        <v>2781</v>
      </c>
      <c r="C20" s="2177" t="s">
        <v>2782</v>
      </c>
      <c r="D20" s="4442" t="s">
        <v>2737</v>
      </c>
      <c r="E20" s="2177" t="s">
        <v>2738</v>
      </c>
      <c r="J20" s="4444" t="s">
        <v>2699</v>
      </c>
      <c r="K20" s="4443" t="s">
        <v>2685</v>
      </c>
    </row>
    <row r="21" spans="2:12">
      <c r="B21" s="4442" t="s">
        <v>2783</v>
      </c>
      <c r="C21" s="2177" t="s">
        <v>2784</v>
      </c>
      <c r="D21" s="4442" t="s">
        <v>2739</v>
      </c>
      <c r="E21" s="2177" t="s">
        <v>2740</v>
      </c>
      <c r="J21" s="4444" t="s">
        <v>2700</v>
      </c>
      <c r="K21" s="4443" t="s">
        <v>2685</v>
      </c>
    </row>
    <row r="22" spans="2:12">
      <c r="B22" s="4442" t="s">
        <v>2785</v>
      </c>
      <c r="C22" s="2177" t="s">
        <v>2786</v>
      </c>
      <c r="D22" s="4442" t="s">
        <v>2741</v>
      </c>
      <c r="E22" s="2177" t="s">
        <v>2749</v>
      </c>
      <c r="J22" s="4444" t="s">
        <v>2701</v>
      </c>
      <c r="K22" s="4443" t="s">
        <v>2685</v>
      </c>
    </row>
    <row r="23" spans="2:12">
      <c r="B23" s="4442" t="s">
        <v>2793</v>
      </c>
      <c r="C23" s="2177" t="s">
        <v>2798</v>
      </c>
      <c r="D23" s="4442" t="s">
        <v>2742</v>
      </c>
      <c r="E23" s="2177" t="s">
        <v>1802</v>
      </c>
      <c r="J23" s="4444" t="s">
        <v>2702</v>
      </c>
      <c r="K23" s="4443" t="s">
        <v>2685</v>
      </c>
    </row>
    <row r="24" spans="2:12">
      <c r="B24" s="4442" t="s">
        <v>2794</v>
      </c>
      <c r="C24" s="2177" t="s">
        <v>2799</v>
      </c>
      <c r="D24" s="4442" t="s">
        <v>2743</v>
      </c>
      <c r="E24" s="2177" t="s">
        <v>2744</v>
      </c>
      <c r="J24" s="4444" t="s">
        <v>2703</v>
      </c>
      <c r="K24" s="4443" t="s">
        <v>2685</v>
      </c>
    </row>
    <row r="25" spans="2:12">
      <c r="B25" s="4442" t="s">
        <v>2795</v>
      </c>
      <c r="C25" s="2177" t="s">
        <v>2800</v>
      </c>
      <c r="D25" s="4442" t="s">
        <v>2745</v>
      </c>
      <c r="E25" s="2177" t="s">
        <v>2746</v>
      </c>
      <c r="J25" s="4444" t="s">
        <v>2704</v>
      </c>
      <c r="K25" s="4443" t="s">
        <v>2685</v>
      </c>
    </row>
    <row r="26" spans="2:12">
      <c r="B26" s="4442" t="s">
        <v>2796</v>
      </c>
      <c r="C26" s="2177" t="s">
        <v>2801</v>
      </c>
      <c r="D26" s="4442" t="s">
        <v>2747</v>
      </c>
      <c r="E26" s="2177" t="s">
        <v>2748</v>
      </c>
      <c r="J26" s="4444" t="s">
        <v>2705</v>
      </c>
      <c r="K26" s="4443" t="s">
        <v>2685</v>
      </c>
    </row>
    <row r="27" spans="2:12">
      <c r="B27" s="4442" t="s">
        <v>2797</v>
      </c>
      <c r="C27" s="2177" t="s">
        <v>2802</v>
      </c>
      <c r="J27" s="4444" t="s">
        <v>2706</v>
      </c>
    </row>
    <row r="28" spans="2:12">
      <c r="B28" s="4442" t="s">
        <v>2788</v>
      </c>
      <c r="C28" s="2177" t="s">
        <v>2789</v>
      </c>
      <c r="D28" s="6494" t="s">
        <v>2790</v>
      </c>
      <c r="E28" s="6494"/>
      <c r="J28" s="4444" t="s">
        <v>2707</v>
      </c>
    </row>
    <row r="29" spans="2:12">
      <c r="B29" s="4442" t="s">
        <v>2787</v>
      </c>
      <c r="J29" s="4444" t="s">
        <v>2708</v>
      </c>
    </row>
    <row r="30" spans="2:12">
      <c r="B30" s="4442" t="s">
        <v>2791</v>
      </c>
      <c r="C30" s="2177" t="s">
        <v>2792</v>
      </c>
      <c r="D30" s="4442" t="s">
        <v>2807</v>
      </c>
      <c r="E30" s="6493" t="s">
        <v>2812</v>
      </c>
      <c r="J30" s="4444" t="s">
        <v>2709</v>
      </c>
    </row>
    <row r="31" spans="2:12">
      <c r="B31" s="4442" t="s">
        <v>2864</v>
      </c>
      <c r="C31" s="2177" t="s">
        <v>2865</v>
      </c>
      <c r="D31" s="4442" t="s">
        <v>2808</v>
      </c>
      <c r="E31" s="6493"/>
    </row>
    <row r="32" spans="2:12">
      <c r="B32" s="4442" t="s">
        <v>2908</v>
      </c>
      <c r="C32" s="2177" t="s">
        <v>2909</v>
      </c>
      <c r="D32" s="4442" t="s">
        <v>2809</v>
      </c>
      <c r="E32" s="6493"/>
    </row>
    <row r="33" spans="2:5">
      <c r="B33" s="4442" t="s">
        <v>2803</v>
      </c>
      <c r="C33" s="2177" t="s">
        <v>2804</v>
      </c>
      <c r="D33" s="4442" t="s">
        <v>2810</v>
      </c>
      <c r="E33" s="6493"/>
    </row>
    <row r="34" spans="2:5">
      <c r="B34" s="4442" t="s">
        <v>2805</v>
      </c>
      <c r="C34" s="2177" t="s">
        <v>2806</v>
      </c>
      <c r="D34" s="4442" t="s">
        <v>2811</v>
      </c>
      <c r="E34" s="6493"/>
    </row>
    <row r="35" spans="2:5">
      <c r="B35" s="4442" t="s">
        <v>3021</v>
      </c>
      <c r="C35" s="2177" t="s">
        <v>3022</v>
      </c>
      <c r="D35" s="4442" t="s">
        <v>2813</v>
      </c>
    </row>
    <row r="36" spans="2:5">
      <c r="B36" s="4442" t="s">
        <v>3108</v>
      </c>
      <c r="C36" s="2177" t="s">
        <v>3109</v>
      </c>
      <c r="D36" s="4442" t="s">
        <v>2814</v>
      </c>
    </row>
    <row r="37" spans="2:5">
      <c r="B37" s="4442" t="s">
        <v>3110</v>
      </c>
      <c r="C37" s="2177" t="s">
        <v>3112</v>
      </c>
      <c r="D37" s="4442" t="s">
        <v>2815</v>
      </c>
    </row>
    <row r="38" spans="2:5">
      <c r="B38" s="4442" t="s">
        <v>3111</v>
      </c>
      <c r="D38" s="4442" t="s">
        <v>2817</v>
      </c>
    </row>
    <row r="39" spans="2:5">
      <c r="D39" s="4442" t="s">
        <v>2816</v>
      </c>
    </row>
    <row r="40" spans="2:5">
      <c r="D40" s="4442" t="s">
        <v>2818</v>
      </c>
    </row>
    <row r="41" spans="2:5">
      <c r="D41" s="4442" t="s">
        <v>2819</v>
      </c>
      <c r="E41" s="2177" t="s">
        <v>2824</v>
      </c>
    </row>
    <row r="42" spans="2:5">
      <c r="D42" s="4442" t="s">
        <v>2820</v>
      </c>
      <c r="E42" s="2177" t="s">
        <v>2825</v>
      </c>
    </row>
    <row r="43" spans="2:5">
      <c r="D43" s="4442" t="s">
        <v>2821</v>
      </c>
      <c r="E43" s="2177" t="s">
        <v>2826</v>
      </c>
    </row>
    <row r="44" spans="2:5">
      <c r="D44" s="4442" t="s">
        <v>2827</v>
      </c>
    </row>
    <row r="45" spans="2:5">
      <c r="D45" s="4442" t="s">
        <v>2822</v>
      </c>
    </row>
    <row r="46" spans="2:5">
      <c r="D46" s="4442" t="s">
        <v>2823</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34" t="s">
        <v>136</v>
      </c>
    </row>
  </sheetData>
  <hyperlinks>
    <hyperlink ref="A6" location="'Danh mục file'!A1" display="Số T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058" t="s">
        <v>1411</v>
      </c>
      <c r="B1" s="6058"/>
      <c r="C1" s="6058"/>
      <c r="D1" s="6058"/>
      <c r="E1" s="6058"/>
      <c r="F1" s="6058"/>
      <c r="G1" s="6058"/>
      <c r="H1" s="6058"/>
      <c r="I1" s="6058"/>
      <c r="J1" s="6058"/>
      <c r="K1" s="6058"/>
      <c r="L1" s="6058"/>
      <c r="M1" s="6058"/>
      <c r="N1" s="6058"/>
      <c r="O1" s="6058"/>
      <c r="P1" s="6058"/>
      <c r="Q1" s="6058"/>
      <c r="R1" s="6058"/>
      <c r="S1" s="6058"/>
      <c r="T1" s="6058"/>
      <c r="U1" s="6058"/>
      <c r="V1" s="6058"/>
      <c r="W1" s="6058"/>
      <c r="X1" s="6058"/>
      <c r="Y1" s="6058"/>
      <c r="Z1" s="6058"/>
      <c r="AA1" s="6058"/>
      <c r="AB1" s="6058"/>
      <c r="AC1" s="6058"/>
      <c r="AD1" s="6058"/>
      <c r="AE1" s="6058"/>
      <c r="AF1" s="6058"/>
      <c r="AG1" s="6058"/>
      <c r="AH1" s="6058"/>
      <c r="AI1" s="6058"/>
      <c r="AJ1" s="6058"/>
      <c r="AK1" s="6058"/>
      <c r="AL1" s="6058"/>
      <c r="AM1" s="6058"/>
      <c r="AN1" s="6058"/>
      <c r="AO1" s="6058"/>
      <c r="AP1" s="6058"/>
      <c r="AQ1" s="6058"/>
      <c r="AR1" s="6058"/>
    </row>
    <row r="2" spans="1:74">
      <c r="A2" s="6058" t="s">
        <v>3266</v>
      </c>
      <c r="B2" s="6058"/>
      <c r="C2" s="6058"/>
      <c r="D2" s="6058"/>
      <c r="E2" s="6058"/>
      <c r="F2" s="6058"/>
      <c r="G2" s="6058"/>
      <c r="H2" s="6058"/>
      <c r="I2" s="6058"/>
      <c r="J2" s="6058"/>
      <c r="K2" s="6058"/>
      <c r="L2" s="6058"/>
      <c r="M2" s="6058"/>
      <c r="N2" s="6058"/>
      <c r="O2" s="6058"/>
      <c r="P2" s="6058"/>
      <c r="Q2" s="6058"/>
      <c r="R2" s="6058"/>
      <c r="S2" s="6058"/>
      <c r="T2" s="6058"/>
      <c r="U2" s="6058"/>
      <c r="V2" s="6058"/>
      <c r="W2" s="6058"/>
      <c r="X2" s="6058"/>
      <c r="Y2" s="6058"/>
      <c r="Z2" s="6058"/>
      <c r="AA2" s="6058"/>
      <c r="AB2" s="6058"/>
      <c r="AC2" s="6058"/>
      <c r="AD2" s="6058"/>
      <c r="AE2" s="6058"/>
      <c r="AF2" s="6058"/>
      <c r="AG2" s="6058"/>
      <c r="AH2" s="6058"/>
      <c r="AI2" s="6058"/>
      <c r="AJ2" s="6058"/>
      <c r="AK2" s="6058"/>
      <c r="AL2" s="6058"/>
      <c r="AM2" s="6058"/>
      <c r="AN2" s="6058"/>
      <c r="AO2" s="6058"/>
      <c r="AP2" s="6058"/>
      <c r="AQ2" s="6058"/>
      <c r="AR2" s="6058"/>
    </row>
    <row r="3" spans="1:74">
      <c r="A3" s="6061" t="s">
        <v>3208</v>
      </c>
      <c r="B3" s="6061"/>
      <c r="C3" s="6061"/>
      <c r="D3" s="6061"/>
      <c r="E3" s="6061"/>
      <c r="F3" s="6061"/>
      <c r="G3" s="6061"/>
      <c r="H3" s="6061"/>
      <c r="I3" s="6061"/>
      <c r="J3" s="6061"/>
      <c r="K3" s="6061"/>
      <c r="L3" s="6061"/>
      <c r="M3" s="6061"/>
      <c r="N3" s="6061"/>
      <c r="O3" s="6061"/>
      <c r="P3" s="6061"/>
      <c r="Q3" s="6061"/>
      <c r="R3" s="6061"/>
      <c r="S3" s="6061"/>
      <c r="T3" s="6061"/>
      <c r="U3" s="6061"/>
      <c r="V3" s="6061"/>
      <c r="W3" s="6061"/>
      <c r="X3" s="6061"/>
      <c r="Y3" s="6061"/>
      <c r="Z3" s="6061"/>
      <c r="AA3" s="6061"/>
      <c r="AB3" s="6061"/>
      <c r="AC3" s="6061"/>
      <c r="AD3" s="6061"/>
      <c r="AE3" s="6061"/>
      <c r="AF3" s="6061"/>
      <c r="AG3" s="6061"/>
      <c r="AH3" s="6061"/>
      <c r="AI3" s="6061"/>
      <c r="AJ3" s="6061"/>
      <c r="AK3" s="6061"/>
      <c r="AL3" s="6061"/>
      <c r="AM3" s="6061"/>
      <c r="AN3" s="6061"/>
      <c r="AO3" s="6061"/>
      <c r="AP3" s="6061"/>
      <c r="AQ3" s="6061"/>
      <c r="AR3" s="6061"/>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531" t="s">
        <v>246</v>
      </c>
      <c r="AG5" s="6531"/>
      <c r="AH5" s="6531"/>
    </row>
    <row r="6" spans="1:74" ht="16.2" thickTop="1">
      <c r="A6" s="6532" t="s">
        <v>0</v>
      </c>
      <c r="B6" s="6534" t="s">
        <v>49</v>
      </c>
      <c r="C6" s="6535" t="s">
        <v>50</v>
      </c>
      <c r="D6" s="6535"/>
      <c r="E6" s="6535"/>
      <c r="F6" s="6535"/>
      <c r="G6" s="6535"/>
      <c r="H6" s="6535"/>
      <c r="I6" s="6535"/>
      <c r="J6" s="6529" t="s">
        <v>120</v>
      </c>
      <c r="K6" s="6529"/>
      <c r="L6" s="6529"/>
      <c r="M6" s="6529"/>
      <c r="N6" s="6529"/>
      <c r="O6" s="6529"/>
      <c r="P6" s="6529"/>
      <c r="Q6" s="6529" t="s">
        <v>121</v>
      </c>
      <c r="R6" s="6529"/>
      <c r="S6" s="6529"/>
      <c r="T6" s="6529"/>
      <c r="U6" s="6529"/>
      <c r="V6" s="6529"/>
      <c r="W6" s="6529" t="s">
        <v>125</v>
      </c>
      <c r="X6" s="6529"/>
      <c r="Y6" s="6529"/>
      <c r="Z6" s="6529"/>
      <c r="AA6" s="6529"/>
      <c r="AB6" s="6529"/>
      <c r="AC6" s="6529" t="s">
        <v>126</v>
      </c>
      <c r="AD6" s="6529"/>
      <c r="AE6" s="6529"/>
      <c r="AF6" s="6529"/>
      <c r="AG6" s="6529"/>
      <c r="AH6" s="6530"/>
      <c r="AI6" s="6226" t="s">
        <v>127</v>
      </c>
      <c r="AJ6" s="6067"/>
      <c r="AK6" s="6067"/>
      <c r="AL6" s="6067"/>
      <c r="AM6" s="6067"/>
      <c r="AN6" s="6067"/>
      <c r="AO6" s="6067" t="s">
        <v>128</v>
      </c>
      <c r="AP6" s="6067"/>
      <c r="AQ6" s="6067"/>
      <c r="AR6" s="6067"/>
      <c r="AS6" s="6067"/>
      <c r="AT6" s="6067"/>
      <c r="AU6" s="6067" t="s">
        <v>129</v>
      </c>
      <c r="AV6" s="6067"/>
      <c r="AW6" s="6067"/>
      <c r="AX6" s="6067"/>
      <c r="AY6" s="6067"/>
      <c r="AZ6" s="6067"/>
    </row>
    <row r="7" spans="1:74">
      <c r="A7" s="6533"/>
      <c r="B7" s="6063"/>
      <c r="C7" s="6063" t="s">
        <v>51</v>
      </c>
      <c r="D7" s="6063"/>
      <c r="E7" s="6063" t="s">
        <v>52</v>
      </c>
      <c r="F7" s="6063" t="s">
        <v>53</v>
      </c>
      <c r="G7" s="6063" t="s">
        <v>124</v>
      </c>
      <c r="H7" s="6063"/>
      <c r="I7" s="6063"/>
      <c r="J7" s="6066" t="s">
        <v>51</v>
      </c>
      <c r="K7" s="6068" t="s">
        <v>122</v>
      </c>
      <c r="L7" s="6068"/>
      <c r="M7" s="6063" t="s">
        <v>53</v>
      </c>
      <c r="N7" s="6063" t="s">
        <v>124</v>
      </c>
      <c r="O7" s="6063"/>
      <c r="P7" s="6063"/>
      <c r="Q7" s="6066" t="s">
        <v>51</v>
      </c>
      <c r="R7" s="6066" t="s">
        <v>123</v>
      </c>
      <c r="S7" s="6063" t="s">
        <v>53</v>
      </c>
      <c r="T7" s="6063" t="s">
        <v>124</v>
      </c>
      <c r="U7" s="6063"/>
      <c r="V7" s="6063"/>
      <c r="W7" s="6066" t="s">
        <v>51</v>
      </c>
      <c r="X7" s="6066" t="s">
        <v>131</v>
      </c>
      <c r="Y7" s="6063" t="s">
        <v>53</v>
      </c>
      <c r="Z7" s="6063" t="s">
        <v>124</v>
      </c>
      <c r="AA7" s="6063"/>
      <c r="AB7" s="6063"/>
      <c r="AC7" s="6066" t="s">
        <v>51</v>
      </c>
      <c r="AD7" s="6066" t="s">
        <v>132</v>
      </c>
      <c r="AE7" s="6063" t="s">
        <v>53</v>
      </c>
      <c r="AF7" s="6063" t="s">
        <v>124</v>
      </c>
      <c r="AG7" s="6063"/>
      <c r="AH7" s="6528"/>
      <c r="AI7" s="6527" t="s">
        <v>51</v>
      </c>
      <c r="AJ7" s="6066" t="s">
        <v>133</v>
      </c>
      <c r="AK7" s="6063" t="s">
        <v>53</v>
      </c>
      <c r="AL7" s="6063" t="s">
        <v>124</v>
      </c>
      <c r="AM7" s="6063"/>
      <c r="AN7" s="6063"/>
      <c r="AO7" s="6066" t="s">
        <v>51</v>
      </c>
      <c r="AP7" s="6066" t="s">
        <v>130</v>
      </c>
      <c r="AQ7" s="6063" t="s">
        <v>53</v>
      </c>
      <c r="AR7" s="6063" t="s">
        <v>124</v>
      </c>
      <c r="AS7" s="6063"/>
      <c r="AT7" s="6063"/>
      <c r="AU7" s="6066" t="s">
        <v>51</v>
      </c>
      <c r="AV7" s="6066" t="s">
        <v>134</v>
      </c>
      <c r="AW7" s="6063" t="s">
        <v>53</v>
      </c>
      <c r="AX7" s="6063" t="s">
        <v>124</v>
      </c>
      <c r="AY7" s="6063"/>
      <c r="AZ7" s="6063"/>
      <c r="BM7" s="6058" t="s">
        <v>1841</v>
      </c>
      <c r="BN7" s="6058"/>
      <c r="BO7" s="6058"/>
      <c r="BP7" s="6058"/>
      <c r="BQ7" s="6058"/>
    </row>
    <row r="8" spans="1:74" ht="31.2">
      <c r="A8" s="6533"/>
      <c r="B8" s="6063"/>
      <c r="C8" s="755" t="s">
        <v>119</v>
      </c>
      <c r="D8" s="755" t="s">
        <v>118</v>
      </c>
      <c r="E8" s="6065"/>
      <c r="F8" s="6065"/>
      <c r="G8" s="1538" t="s">
        <v>54</v>
      </c>
      <c r="H8" s="1538" t="s">
        <v>55</v>
      </c>
      <c r="I8" s="130" t="s">
        <v>56</v>
      </c>
      <c r="J8" s="6066"/>
      <c r="K8" s="755" t="s">
        <v>119</v>
      </c>
      <c r="L8" s="755" t="s">
        <v>118</v>
      </c>
      <c r="M8" s="6066"/>
      <c r="N8" s="1538" t="s">
        <v>54</v>
      </c>
      <c r="O8" s="1538" t="s">
        <v>55</v>
      </c>
      <c r="P8" s="130" t="s">
        <v>56</v>
      </c>
      <c r="Q8" s="6066"/>
      <c r="R8" s="6066"/>
      <c r="S8" s="6066"/>
      <c r="T8" s="1538" t="s">
        <v>54</v>
      </c>
      <c r="U8" s="1538" t="s">
        <v>55</v>
      </c>
      <c r="V8" s="130" t="s">
        <v>56</v>
      </c>
      <c r="W8" s="6066"/>
      <c r="X8" s="6066"/>
      <c r="Y8" s="6066"/>
      <c r="Z8" s="1538" t="s">
        <v>54</v>
      </c>
      <c r="AA8" s="1538" t="s">
        <v>55</v>
      </c>
      <c r="AB8" s="130" t="s">
        <v>56</v>
      </c>
      <c r="AC8" s="6066"/>
      <c r="AD8" s="6066"/>
      <c r="AE8" s="6066"/>
      <c r="AF8" s="1538" t="s">
        <v>54</v>
      </c>
      <c r="AG8" s="1538" t="s">
        <v>55</v>
      </c>
      <c r="AH8" s="5529" t="s">
        <v>56</v>
      </c>
      <c r="AI8" s="6527"/>
      <c r="AJ8" s="6066"/>
      <c r="AK8" s="6066"/>
      <c r="AL8" s="1538" t="s">
        <v>54</v>
      </c>
      <c r="AM8" s="1538" t="s">
        <v>55</v>
      </c>
      <c r="AN8" s="130" t="s">
        <v>56</v>
      </c>
      <c r="AO8" s="6066"/>
      <c r="AP8" s="6066"/>
      <c r="AQ8" s="6066"/>
      <c r="AR8" s="1538" t="s">
        <v>54</v>
      </c>
      <c r="AS8" s="1538" t="s">
        <v>55</v>
      </c>
      <c r="AT8" s="130" t="s">
        <v>56</v>
      </c>
      <c r="AU8" s="6066"/>
      <c r="AV8" s="6066"/>
      <c r="AW8" s="6066"/>
      <c r="AX8" s="1538" t="s">
        <v>54</v>
      </c>
      <c r="AY8" s="1538" t="s">
        <v>55</v>
      </c>
      <c r="AZ8" s="130" t="s">
        <v>56</v>
      </c>
      <c r="BM8" s="851" t="s">
        <v>1464</v>
      </c>
      <c r="BN8" s="851" t="s">
        <v>1837</v>
      </c>
      <c r="BO8" s="851" t="s">
        <v>1838</v>
      </c>
      <c r="BP8" s="851" t="s">
        <v>1839</v>
      </c>
      <c r="BQ8" s="851" t="s">
        <v>1840</v>
      </c>
      <c r="BU8" s="1" t="s">
        <v>87</v>
      </c>
    </row>
    <row r="9" spans="1:74">
      <c r="A9" s="5530">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31"/>
      <c r="AI9" s="5518"/>
      <c r="AJ9" s="10"/>
      <c r="AK9" s="10"/>
      <c r="AL9" s="10"/>
      <c r="AM9" s="10"/>
      <c r="AN9" s="10"/>
      <c r="AO9" s="10"/>
      <c r="AP9" s="10"/>
      <c r="AQ9" s="10"/>
      <c r="AR9" s="10"/>
      <c r="AS9" s="10"/>
      <c r="AT9" s="10"/>
      <c r="AU9" s="10"/>
      <c r="AV9" s="10"/>
      <c r="AW9" s="10"/>
      <c r="AX9" s="10"/>
      <c r="AY9" s="10"/>
      <c r="AZ9" s="10"/>
    </row>
    <row r="10" spans="1:74" s="4" customFormat="1">
      <c r="A10" s="5797" t="s">
        <v>1</v>
      </c>
      <c r="B10" s="5798" t="s">
        <v>2</v>
      </c>
      <c r="C10" s="5799">
        <f t="shared" ref="C10:D10" si="0">SUM(C11+C51)</f>
        <v>8914000</v>
      </c>
      <c r="D10" s="5799">
        <f t="shared" si="0"/>
        <v>9674054.1620000005</v>
      </c>
      <c r="E10" s="5800"/>
      <c r="F10" s="5801">
        <f>SUM(F11+F51)</f>
        <v>781100</v>
      </c>
      <c r="G10" s="5801">
        <f>SUM(G11+G51)</f>
        <v>8892984.1620000005</v>
      </c>
      <c r="H10" s="5801">
        <f>SUM(H11+H51)</f>
        <v>4953904.1620000005</v>
      </c>
      <c r="I10" s="5801">
        <f>SUM(I11+I51)</f>
        <v>3939080</v>
      </c>
      <c r="J10" s="5799">
        <f>SUM(J11+J51)</f>
        <v>9675053.6514166668</v>
      </c>
      <c r="K10" s="5802">
        <f>J10/C10*100</f>
        <v>108.53773447853563</v>
      </c>
      <c r="L10" s="5803">
        <f>J10/D10*100</f>
        <v>100.01033164999834</v>
      </c>
      <c r="M10" s="5804">
        <f t="shared" ref="M10:N10" si="1">SUM(M11+M51)</f>
        <v>955042.50578139594</v>
      </c>
      <c r="N10" s="5804">
        <f t="shared" si="1"/>
        <v>8720011.1456352696</v>
      </c>
      <c r="O10" s="5804">
        <f t="shared" ref="O10:P10" si="2">SUM(O11+O51)</f>
        <v>5155870.4856352694</v>
      </c>
      <c r="P10" s="5804">
        <f t="shared" si="2"/>
        <v>3564140.66</v>
      </c>
      <c r="Q10" s="5799">
        <f>+Q11+Q51+Q56</f>
        <v>10100553.796</v>
      </c>
      <c r="R10" s="5805">
        <f>Q10/J10*100</f>
        <v>104.3979099229184</v>
      </c>
      <c r="S10" s="5799">
        <f>+S11+S51+S56</f>
        <v>1385035</v>
      </c>
      <c r="T10" s="5799">
        <f>+T11+T51+T56</f>
        <v>8715518.7960000001</v>
      </c>
      <c r="U10" s="5799">
        <f>+U11+U51+U56</f>
        <v>4983218.7960000001</v>
      </c>
      <c r="V10" s="5799">
        <f>+V11+V51+V56</f>
        <v>3732300</v>
      </c>
      <c r="W10" s="5799">
        <f>SUM(W11+W51)+W56</f>
        <v>11087000</v>
      </c>
      <c r="X10" s="5802">
        <f>W10/Q10*100</f>
        <v>109.76625860248031</v>
      </c>
      <c r="Y10" s="5799">
        <f>SUM(Y11+Y51)+Y56</f>
        <v>1201955.025536566</v>
      </c>
      <c r="Z10" s="5799">
        <f>SUM(Z11+Z51)+Z56</f>
        <v>9885044.974463433</v>
      </c>
      <c r="AA10" s="5799">
        <f>SUM(AA11+AA51)+AA56</f>
        <v>5511695.4648282835</v>
      </c>
      <c r="AB10" s="5799">
        <f>SUM(AB11+AB51)+AB56</f>
        <v>4373349.5096351504</v>
      </c>
      <c r="AC10" s="5799">
        <f t="shared" ref="AC10" si="3">SUM(AC11+AC51)</f>
        <v>11812000</v>
      </c>
      <c r="AD10" s="5806">
        <f>AC10/W10*100</f>
        <v>106.53919004239198</v>
      </c>
      <c r="AE10" s="5799">
        <f t="shared" ref="AE10:AI10" si="4">SUM(AE11+AE51)</f>
        <v>1282977.652689477</v>
      </c>
      <c r="AF10" s="5799">
        <f t="shared" si="4"/>
        <v>10529022.347310523</v>
      </c>
      <c r="AG10" s="5799">
        <f t="shared" si="4"/>
        <v>5765742.4464954007</v>
      </c>
      <c r="AH10" s="5807">
        <f t="shared" si="4"/>
        <v>4763279.9008151218</v>
      </c>
      <c r="AI10" s="5519">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16">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34"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35">
        <f>SUM(AH13+AH19+AH25+AH30+AH36+AH37+AH38+AH39+AH40+AH41+AH42+AH43+AH44+AH45+AH46+AH47+AH49+AH50)</f>
        <v>4763279.9008151218</v>
      </c>
      <c r="AI11" s="5520">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16">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795">
        <f>AH11-AH42-AH50-AH47</f>
        <v>3503279.9008151218</v>
      </c>
      <c r="AI12" s="5521">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16">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74">
        <f t="shared" si="21"/>
        <v>0</v>
      </c>
      <c r="AI13" s="5522">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16">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38"/>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20">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47">
        <f>+'Phụ lục số 1'!AH14</f>
        <v>0</v>
      </c>
      <c r="AI14" s="5523">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16">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38"/>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20">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47">
        <f>+'Phụ lục số 1'!AH15</f>
        <v>0</v>
      </c>
      <c r="AI15" s="5523">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16">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38"/>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20">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47">
        <f>+'Phụ lục số 1'!AH16</f>
        <v>0</v>
      </c>
      <c r="AI16" s="5523">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16">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38"/>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20">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47">
        <f>+'Phụ lục số 1'!AH17</f>
        <v>0</v>
      </c>
      <c r="AI17" s="5523"/>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16"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38"/>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20">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47">
        <f>+'Phụ lục số 1'!AH18</f>
        <v>0</v>
      </c>
      <c r="AI18" s="5523"/>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16"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38">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48">
        <f t="shared" si="46"/>
        <v>0</v>
      </c>
      <c r="AI19" s="5524">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16">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38"/>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47">
        <f>+'Phụ lục số 1'!AH20</f>
        <v>0</v>
      </c>
      <c r="AI20" s="5523">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16">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38"/>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47">
        <f>+'Phụ lục số 1'!AH21</f>
        <v>0</v>
      </c>
      <c r="AI21" s="5523">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16">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38"/>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47">
        <f>+'Phụ lục số 1'!AH22</f>
        <v>0</v>
      </c>
      <c r="AI22" s="5523"/>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16"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38"/>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47">
        <f>+'Phụ lục số 1'!AH23</f>
        <v>0</v>
      </c>
      <c r="AI23" s="5523">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16">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38"/>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47">
        <f>+'Phụ lục số 1'!AH24</f>
        <v>0</v>
      </c>
      <c r="AI24" s="5523"/>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16"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38">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48">
        <f t="shared" si="72"/>
        <v>0</v>
      </c>
      <c r="AI25" s="5524">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16">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38"/>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47">
        <f>+'Phụ lục số 1'!AH26</f>
        <v>0</v>
      </c>
      <c r="AI26" s="5523">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16">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38"/>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47">
        <f>+'Phụ lục số 1'!AH27</f>
        <v>0</v>
      </c>
      <c r="AI27" s="5523">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16">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38"/>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47">
        <f>+'Phụ lục số 1'!AH28</f>
        <v>0</v>
      </c>
      <c r="AI28" s="5523">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16"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38"/>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47">
        <f>+'Phụ lục số 1'!AH29</f>
        <v>0</v>
      </c>
      <c r="AI29" s="5523">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16"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38">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48">
        <f t="shared" si="99"/>
        <v>1881100</v>
      </c>
      <c r="AI30" s="5524">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16">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38"/>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493">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47">
        <f>+'Phụ lục số 1'!AH31</f>
        <v>1031100</v>
      </c>
      <c r="AI31" s="5523">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16">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38"/>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493">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47">
        <f>+'Phụ lục số 1'!AH32</f>
        <v>850000</v>
      </c>
      <c r="AI32" s="5523">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16">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38"/>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493">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47">
        <f>+'Phụ lục số 1'!AH33</f>
        <v>0</v>
      </c>
      <c r="AI33" s="5523">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16">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38"/>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493">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47">
        <f>+'Phụ lục số 1'!AH34</f>
        <v>0</v>
      </c>
      <c r="AI34" s="5523">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16">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38"/>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492">
        <f>+'Phụ lục số 1'!J35</f>
        <v>173</v>
      </c>
      <c r="K35" s="158"/>
      <c r="L35" s="158"/>
      <c r="M35" s="5493">
        <f>+'Phụ lục số 1'!M35</f>
        <v>0</v>
      </c>
      <c r="N35" s="5493">
        <f t="shared" si="114"/>
        <v>173</v>
      </c>
      <c r="O35" s="5493">
        <f>+'Phụ lục số 1'!O35</f>
        <v>173</v>
      </c>
      <c r="P35" s="5493">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47">
        <f>+'Phụ lục số 1'!AH35</f>
        <v>0</v>
      </c>
      <c r="AI35" s="5523"/>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16"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38">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492">
        <f>+'Phụ lục số 1'!J36</f>
        <v>313000</v>
      </c>
      <c r="K36" s="158"/>
      <c r="L36" s="158"/>
      <c r="M36" s="5493">
        <f>+'Phụ lục số 1'!M36</f>
        <v>0</v>
      </c>
      <c r="N36" s="5493">
        <f t="shared" ref="N36:N51" si="123">SUM(O36:P36)</f>
        <v>313000</v>
      </c>
      <c r="O36" s="5493">
        <f>+'Phụ lục số 1'!O36</f>
        <v>0</v>
      </c>
      <c r="P36" s="5493">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48">
        <f>+'Phụ lục số 1'!AH36</f>
        <v>528000</v>
      </c>
      <c r="AI36" s="5524">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16">
        <f t="shared" si="12"/>
        <v>1.1904098953903399</v>
      </c>
      <c r="BC36" s="1729">
        <f t="shared" si="13"/>
        <v>1338000</v>
      </c>
      <c r="BE36" s="1729">
        <f t="shared" si="14"/>
        <v>1338000</v>
      </c>
      <c r="BM36" s="1729">
        <f t="shared" si="108"/>
        <v>-37000</v>
      </c>
      <c r="BN36" s="1729">
        <f t="shared" si="109"/>
        <v>0</v>
      </c>
      <c r="BO36" s="1729">
        <f>SUM(BP36:BQ36)</f>
        <v>-37000</v>
      </c>
      <c r="BP36" s="5293">
        <f t="shared" si="111"/>
        <v>0</v>
      </c>
      <c r="BQ36" s="5293">
        <f t="shared" si="112"/>
        <v>-37000</v>
      </c>
      <c r="BR36" s="4"/>
      <c r="BU36" s="6">
        <f>+'Biểu số 1'!AZ36</f>
        <v>299939</v>
      </c>
      <c r="BV36" s="816">
        <f t="shared" ref="BV36:BV51" si="125">+J36/BU36-100%</f>
        <v>4.3545520922587677E-2</v>
      </c>
    </row>
    <row r="37" spans="1:74">
      <c r="A37" s="5538">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492">
        <f>+'Phụ lục số 1'!J37</f>
        <v>13</v>
      </c>
      <c r="K37" s="158"/>
      <c r="L37" s="158"/>
      <c r="M37" s="5493">
        <f>+'Phụ lục số 1'!M37</f>
        <v>0</v>
      </c>
      <c r="N37" s="5493">
        <f t="shared" si="123"/>
        <v>13</v>
      </c>
      <c r="O37" s="5493">
        <f>+'Phụ lục số 1'!O37</f>
        <v>0</v>
      </c>
      <c r="P37" s="5493">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48">
        <f>+'Phụ lục số 1'!AH37</f>
        <v>0</v>
      </c>
      <c r="AI37" s="5523">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16" t="e">
        <f t="shared" si="12"/>
        <v>#DIV/0!</v>
      </c>
      <c r="BC37" s="1729">
        <f t="shared" si="13"/>
        <v>0</v>
      </c>
      <c r="BE37" s="1729">
        <f t="shared" si="14"/>
        <v>0</v>
      </c>
      <c r="BM37" s="1729">
        <f t="shared" si="108"/>
        <v>13</v>
      </c>
      <c r="BN37" s="1729">
        <f t="shared" si="109"/>
        <v>0</v>
      </c>
      <c r="BO37" s="1729">
        <f t="shared" ref="BO37:BO49" si="132">SUM(BP37:BQ37)</f>
        <v>13</v>
      </c>
      <c r="BP37" s="5293">
        <f t="shared" si="111"/>
        <v>0</v>
      </c>
      <c r="BQ37" s="5293">
        <f t="shared" si="112"/>
        <v>13</v>
      </c>
      <c r="BR37" s="4"/>
      <c r="BU37" s="6">
        <f>+'Biểu số 1'!AZ37</f>
        <v>342</v>
      </c>
      <c r="BV37" s="816">
        <f t="shared" si="125"/>
        <v>-0.96198830409356728</v>
      </c>
    </row>
    <row r="38" spans="1:74">
      <c r="A38" s="5538">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492">
        <f>+'Phụ lục số 1'!J38</f>
        <v>18918</v>
      </c>
      <c r="K38" s="158"/>
      <c r="L38" s="158"/>
      <c r="M38" s="5493">
        <f>+'Phụ lục số 1'!M38</f>
        <v>0</v>
      </c>
      <c r="N38" s="5493">
        <f t="shared" si="123"/>
        <v>18918</v>
      </c>
      <c r="O38" s="5493">
        <f>+'Phụ lục số 1'!O38</f>
        <v>0</v>
      </c>
      <c r="P38" s="5493">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48">
        <f>+'Phụ lục số 1'!AH38</f>
        <v>16000</v>
      </c>
      <c r="AI38" s="5524">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16">
        <f>((Q38/J38)*(W38/Q38)*(AC38/W38))^(1/3)</f>
        <v>0.94568881789836023</v>
      </c>
      <c r="BC38" s="1729">
        <f t="shared" si="13"/>
        <v>49000</v>
      </c>
      <c r="BE38" s="1729">
        <f t="shared" si="14"/>
        <v>49000</v>
      </c>
      <c r="BM38" s="1729">
        <f t="shared" si="108"/>
        <v>3918</v>
      </c>
      <c r="BN38" s="1729">
        <f t="shared" si="109"/>
        <v>0</v>
      </c>
      <c r="BO38" s="1729">
        <f t="shared" si="132"/>
        <v>3918</v>
      </c>
      <c r="BP38" s="5293">
        <f t="shared" si="111"/>
        <v>0</v>
      </c>
      <c r="BQ38" s="5293">
        <f t="shared" si="112"/>
        <v>3918</v>
      </c>
      <c r="BR38" s="4"/>
      <c r="BU38" s="6">
        <f>+'Biểu số 1'!AZ38</f>
        <v>17533</v>
      </c>
      <c r="BV38" s="816">
        <f t="shared" si="125"/>
        <v>7.8993897222380705E-2</v>
      </c>
    </row>
    <row r="39" spans="1:74">
      <c r="A39" s="5538">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492">
        <f>+'Phụ lục số 1'!J39</f>
        <v>720000</v>
      </c>
      <c r="K39" s="158"/>
      <c r="L39" s="158"/>
      <c r="M39" s="5493">
        <f>+'Phụ lục số 1'!M39</f>
        <v>0</v>
      </c>
      <c r="N39" s="5493">
        <f t="shared" si="123"/>
        <v>720000</v>
      </c>
      <c r="O39" s="5493">
        <f>+'Phụ lục số 1'!O39</f>
        <v>402500</v>
      </c>
      <c r="P39" s="5493">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48">
        <f>+'Phụ lục số 1'!AH39</f>
        <v>436169.55471266015</v>
      </c>
      <c r="AI39" s="5524">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16">
        <f t="shared" si="12"/>
        <v>1.1044508979127781</v>
      </c>
      <c r="BC39" s="1729">
        <f t="shared" si="13"/>
        <v>2645000</v>
      </c>
      <c r="BE39" s="1729">
        <f t="shared" si="14"/>
        <v>2645000</v>
      </c>
      <c r="BM39" s="1729">
        <f t="shared" si="108"/>
        <v>-10000</v>
      </c>
      <c r="BN39" s="1729">
        <f t="shared" si="109"/>
        <v>0</v>
      </c>
      <c r="BO39" s="1729">
        <f t="shared" si="132"/>
        <v>-10000</v>
      </c>
      <c r="BP39" s="5293">
        <f t="shared" si="111"/>
        <v>-5500</v>
      </c>
      <c r="BQ39" s="5293">
        <f t="shared" si="112"/>
        <v>-4500</v>
      </c>
      <c r="BR39" s="4"/>
      <c r="BU39" s="6">
        <f>+'Biểu số 1'!AZ39</f>
        <v>694807</v>
      </c>
      <c r="BV39" s="816">
        <f t="shared" si="125"/>
        <v>3.6258989906549521E-2</v>
      </c>
    </row>
    <row r="40" spans="1:74">
      <c r="A40" s="5538">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492">
        <f>+'Phụ lục số 1'!J40</f>
        <v>950000</v>
      </c>
      <c r="K40" s="158"/>
      <c r="L40" s="158"/>
      <c r="M40" s="5493">
        <f>+'Phụ lục số 1'!M40</f>
        <v>380000</v>
      </c>
      <c r="N40" s="5493">
        <f t="shared" si="123"/>
        <v>570000</v>
      </c>
      <c r="O40" s="5493">
        <f>+'Phụ lục số 1'!O40</f>
        <v>570000</v>
      </c>
      <c r="P40" s="5493">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48">
        <f>+'Phụ lục số 1'!AH40</f>
        <v>0</v>
      </c>
      <c r="AI40" s="5524">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16">
        <f t="shared" si="12"/>
        <v>1.2374176318157031</v>
      </c>
      <c r="BC40" s="1729">
        <f t="shared" si="13"/>
        <v>5240000</v>
      </c>
      <c r="BE40" s="1729">
        <f t="shared" si="14"/>
        <v>3144000</v>
      </c>
      <c r="BM40" s="1729">
        <f t="shared" si="108"/>
        <v>-115000</v>
      </c>
      <c r="BN40" s="1729">
        <f t="shared" si="109"/>
        <v>-46000</v>
      </c>
      <c r="BO40" s="1729">
        <f t="shared" si="132"/>
        <v>-69000</v>
      </c>
      <c r="BP40" s="5293">
        <f t="shared" si="111"/>
        <v>-69000</v>
      </c>
      <c r="BQ40" s="5293">
        <f t="shared" si="112"/>
        <v>0</v>
      </c>
      <c r="BR40" s="4"/>
      <c r="BU40" s="6">
        <f>+'Biểu số 1'!AZ40</f>
        <v>946183</v>
      </c>
      <c r="BV40" s="816">
        <f t="shared" si="125"/>
        <v>4.0341033394173387E-3</v>
      </c>
    </row>
    <row r="41" spans="1:74">
      <c r="A41" s="5538">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492">
        <f>+'Phụ lục số 1'!J41</f>
        <v>178000</v>
      </c>
      <c r="K41" s="158"/>
      <c r="L41" s="158"/>
      <c r="M41" s="5493">
        <f>+'Phụ lục số 1'!M41</f>
        <v>49999.529411764714</v>
      </c>
      <c r="N41" s="5493">
        <f t="shared" si="123"/>
        <v>128000.47058823529</v>
      </c>
      <c r="O41" s="5493">
        <f>+'Phụ lục số 1'!O41</f>
        <v>63405.470588235286</v>
      </c>
      <c r="P41" s="5493">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48">
        <f>+'Phụ lục số 1'!AH41</f>
        <v>104350.45664300205</v>
      </c>
      <c r="AI41" s="5524">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16">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293">
        <f t="shared" si="111"/>
        <v>15805.470588235286</v>
      </c>
      <c r="BQ41" s="5293">
        <f t="shared" si="112"/>
        <v>2195</v>
      </c>
      <c r="BR41" s="4"/>
      <c r="BU41" s="6">
        <f>+'Biểu số 1'!AZ41</f>
        <v>154887</v>
      </c>
      <c r="BV41" s="816">
        <f t="shared" si="125"/>
        <v>0.14922491881177891</v>
      </c>
    </row>
    <row r="42" spans="1:74">
      <c r="A42" s="5538">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492">
        <f>+'Phụ lục số 1'!J42</f>
        <v>1770000</v>
      </c>
      <c r="K42" s="158"/>
      <c r="L42" s="158"/>
      <c r="M42" s="5493">
        <f>+'Phụ lục số 1'!M42</f>
        <v>0</v>
      </c>
      <c r="N42" s="5493">
        <f t="shared" si="123"/>
        <v>1770000</v>
      </c>
      <c r="O42" s="5493">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48">
        <f>+'Phụ lục số 1'!AH42</f>
        <v>1260000</v>
      </c>
      <c r="AI42" s="5524">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16">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293">
        <f t="shared" si="111"/>
        <v>0</v>
      </c>
      <c r="BQ42" s="5293">
        <f t="shared" si="112"/>
        <v>0</v>
      </c>
      <c r="BR42" s="4"/>
      <c r="BU42" s="6">
        <f>+'Biểu số 1'!AZ42</f>
        <v>1157443</v>
      </c>
      <c r="BV42" s="816">
        <f t="shared" si="125"/>
        <v>0.52923297302761352</v>
      </c>
    </row>
    <row r="43" spans="1:74">
      <c r="A43" s="5538">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492">
        <f>+'Phụ lục số 1'!J43</f>
        <v>240000</v>
      </c>
      <c r="K43" s="158"/>
      <c r="L43" s="158"/>
      <c r="M43" s="5493">
        <f>+'Phụ lục số 1'!M43</f>
        <v>0</v>
      </c>
      <c r="N43" s="5493">
        <f t="shared" si="123"/>
        <v>240000</v>
      </c>
      <c r="O43" s="5493">
        <f>+'Phụ lục số 1'!O43</f>
        <v>24000</v>
      </c>
      <c r="P43" s="5493">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48">
        <f>+'Phụ lục số 1'!AH43</f>
        <v>269999.99999999994</v>
      </c>
      <c r="AI43" s="5524">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16">
        <f t="shared" si="12"/>
        <v>1.0772173450159417</v>
      </c>
      <c r="BC43" s="1729">
        <f t="shared" si="13"/>
        <v>741000</v>
      </c>
      <c r="BE43" s="1729">
        <f t="shared" si="14"/>
        <v>741000</v>
      </c>
      <c r="BM43" s="1729">
        <f t="shared" si="108"/>
        <v>-75000</v>
      </c>
      <c r="BN43" s="1729">
        <f t="shared" si="109"/>
        <v>0</v>
      </c>
      <c r="BO43" s="1729">
        <f t="shared" si="132"/>
        <v>-75000</v>
      </c>
      <c r="BP43" s="5293">
        <f t="shared" si="111"/>
        <v>-21900</v>
      </c>
      <c r="BQ43" s="5293">
        <f t="shared" si="112"/>
        <v>-53100</v>
      </c>
      <c r="BR43" s="4"/>
      <c r="BU43" s="6">
        <f>+'Biểu số 1'!AZ43</f>
        <v>118474</v>
      </c>
      <c r="BV43" s="816">
        <f t="shared" si="125"/>
        <v>1.025760926447997</v>
      </c>
    </row>
    <row r="44" spans="1:74">
      <c r="A44" s="5538">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492">
        <f>+'Phụ lục số 1'!J44</f>
        <v>0</v>
      </c>
      <c r="K44" s="158"/>
      <c r="L44" s="158"/>
      <c r="M44" s="5493">
        <f>+'Phụ lục số 1'!M44</f>
        <v>0</v>
      </c>
      <c r="N44" s="5493">
        <f t="shared" si="123"/>
        <v>0</v>
      </c>
      <c r="O44" s="5493">
        <f>+'Phụ lục số 1'!O44</f>
        <v>0</v>
      </c>
      <c r="P44" s="5493">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48">
        <f>+'Phụ lục số 1'!AH44</f>
        <v>0</v>
      </c>
      <c r="AI44" s="5523"/>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16" t="e">
        <f t="shared" si="12"/>
        <v>#DIV/0!</v>
      </c>
      <c r="BC44" s="1729">
        <f t="shared" si="13"/>
        <v>0</v>
      </c>
      <c r="BE44" s="1729">
        <f t="shared" si="14"/>
        <v>0</v>
      </c>
      <c r="BM44" s="1729">
        <f t="shared" si="108"/>
        <v>0</v>
      </c>
      <c r="BN44" s="1729">
        <f t="shared" si="109"/>
        <v>0</v>
      </c>
      <c r="BO44" s="1729">
        <f t="shared" si="132"/>
        <v>0</v>
      </c>
      <c r="BP44" s="5293">
        <f t="shared" si="111"/>
        <v>0</v>
      </c>
      <c r="BQ44" s="5293">
        <f t="shared" si="112"/>
        <v>0</v>
      </c>
      <c r="BR44" s="4"/>
      <c r="BU44" s="6">
        <f>+'Biểu số 1'!AZ44</f>
        <v>33</v>
      </c>
      <c r="BV44" s="816">
        <f t="shared" si="125"/>
        <v>-1</v>
      </c>
    </row>
    <row r="45" spans="1:74">
      <c r="A45" s="5538">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492">
        <f>+'Phụ lục số 1'!J45</f>
        <v>387000</v>
      </c>
      <c r="K45" s="158"/>
      <c r="L45" s="158"/>
      <c r="M45" s="5493">
        <f>+'Phụ lục số 1'!M45</f>
        <v>115000.0736196319</v>
      </c>
      <c r="N45" s="5493">
        <f t="shared" si="123"/>
        <v>271999.92638036807</v>
      </c>
      <c r="O45" s="5493">
        <f>+'Phụ lục số 1'!O45</f>
        <v>90499.926380368066</v>
      </c>
      <c r="P45" s="5493">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48">
        <f>+'Phụ lục số 1'!AH45</f>
        <v>265659.88945945946</v>
      </c>
      <c r="AI45" s="5524">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16">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293">
        <f t="shared" si="111"/>
        <v>4969.926380368066</v>
      </c>
      <c r="BQ45" s="5293">
        <f t="shared" si="112"/>
        <v>36000</v>
      </c>
      <c r="BR45" s="4"/>
      <c r="BU45" s="6">
        <f>+'Biểu số 1'!AZ45</f>
        <v>377228</v>
      </c>
      <c r="BV45" s="816">
        <f t="shared" si="125"/>
        <v>2.5904757865269801E-2</v>
      </c>
    </row>
    <row r="46" spans="1:74">
      <c r="A46" s="5538">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492">
        <f>+'Phụ lục số 1'!J46</f>
        <v>43000</v>
      </c>
      <c r="K46" s="158"/>
      <c r="L46" s="158"/>
      <c r="M46" s="5493">
        <f>+'Phụ lục số 1'!M46</f>
        <v>43.333333333333343</v>
      </c>
      <c r="N46" s="5493">
        <f t="shared" si="123"/>
        <v>42956.666666666664</v>
      </c>
      <c r="O46" s="5493">
        <f>+'Phụ lục số 1'!O46</f>
        <v>42956.666666666664</v>
      </c>
      <c r="P46" s="5493">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48">
        <f>+'Phụ lục số 1'!AH46</f>
        <v>0</v>
      </c>
      <c r="AI46" s="5524">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16">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293">
        <f t="shared" si="111"/>
        <v>13056.666666666664</v>
      </c>
      <c r="BQ46" s="5293">
        <f t="shared" si="112"/>
        <v>0</v>
      </c>
      <c r="BR46" s="4"/>
      <c r="BU46" s="6">
        <f>+'Biểu số 1'!AZ46</f>
        <v>52181</v>
      </c>
      <c r="BV46" s="816">
        <f t="shared" si="125"/>
        <v>-0.17594526743450678</v>
      </c>
    </row>
    <row r="47" spans="1:74" s="204" customFormat="1">
      <c r="A47" s="5538">
        <v>16</v>
      </c>
      <c r="B47" s="147" t="s">
        <v>3118</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492">
        <f>+'Phụ lục số 1'!J47</f>
        <v>434122.16200000001</v>
      </c>
      <c r="K47" s="158"/>
      <c r="L47" s="158"/>
      <c r="M47" s="5493">
        <f>+'Phụ lục số 1'!M47</f>
        <v>0</v>
      </c>
      <c r="N47" s="5493">
        <f t="shared" si="123"/>
        <v>434122.16200000001</v>
      </c>
      <c r="O47" s="5493">
        <f>+'Phụ lục số 1'!O47</f>
        <v>434122.16200000001</v>
      </c>
      <c r="P47" s="5493">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48">
        <f>+'Phụ lục số 1'!AH47</f>
        <v>0</v>
      </c>
      <c r="AI47" s="5522">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16">
        <f t="shared" si="12"/>
        <v>0.63279092563359962</v>
      </c>
      <c r="BC47" s="1729">
        <f t="shared" si="13"/>
        <v>243000</v>
      </c>
      <c r="BE47" s="1729">
        <f t="shared" si="14"/>
        <v>243000</v>
      </c>
      <c r="BM47" s="5297">
        <f t="shared" si="108"/>
        <v>-10932</v>
      </c>
      <c r="BN47" s="1729">
        <f t="shared" si="109"/>
        <v>0</v>
      </c>
      <c r="BO47" s="1729">
        <f t="shared" si="132"/>
        <v>-10932</v>
      </c>
      <c r="BP47" s="5293">
        <f>+O47-H47</f>
        <v>-10932</v>
      </c>
      <c r="BQ47" s="5293">
        <f t="shared" ref="BQ47:BQ51" si="133">+P47-I47</f>
        <v>0</v>
      </c>
      <c r="BR47" s="738"/>
      <c r="BU47" s="5298">
        <f>+'Biểu số 1'!AZ47</f>
        <v>80341</v>
      </c>
      <c r="BV47" s="5299">
        <f t="shared" si="125"/>
        <v>4.4034946291432773</v>
      </c>
    </row>
    <row r="48" spans="1:74">
      <c r="A48" s="5546"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492">
        <f>+'Phụ lục số 1'!J48</f>
        <v>408054.16200000001</v>
      </c>
      <c r="K48" s="158"/>
      <c r="L48" s="158"/>
      <c r="M48" s="5493">
        <f>+'Phụ lục số 1'!M48</f>
        <v>0</v>
      </c>
      <c r="N48" s="5493">
        <f t="shared" si="123"/>
        <v>408054.16200000001</v>
      </c>
      <c r="O48" s="5493">
        <f>+'Phụ lục số 1'!O48</f>
        <v>408054.16200000001</v>
      </c>
      <c r="P48" s="5493">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48">
        <f>+'Phụ lục số 1'!AH48</f>
        <v>0</v>
      </c>
      <c r="AI48" s="5523"/>
      <c r="AJ48" s="157"/>
      <c r="AK48" s="157"/>
      <c r="AL48" s="157"/>
      <c r="AM48" s="157"/>
      <c r="AN48" s="157"/>
      <c r="AO48" s="157"/>
      <c r="AP48" s="157"/>
      <c r="AQ48" s="157"/>
      <c r="AR48" s="157"/>
      <c r="AS48" s="157"/>
      <c r="AT48" s="157"/>
      <c r="AU48" s="157"/>
      <c r="AV48" s="157"/>
      <c r="AW48" s="157"/>
      <c r="AX48" s="157"/>
      <c r="AY48" s="157"/>
      <c r="AZ48" s="157"/>
      <c r="BB48" s="5516" t="e">
        <f t="shared" si="12"/>
        <v>#DIV/0!</v>
      </c>
      <c r="BC48" s="1729">
        <f t="shared" si="13"/>
        <v>0</v>
      </c>
      <c r="BE48" s="1729">
        <f t="shared" si="14"/>
        <v>0</v>
      </c>
      <c r="BM48" s="1729">
        <f t="shared" si="108"/>
        <v>0</v>
      </c>
      <c r="BN48" s="1729">
        <f t="shared" si="109"/>
        <v>0</v>
      </c>
      <c r="BO48" s="1729">
        <f t="shared" si="132"/>
        <v>0</v>
      </c>
      <c r="BP48" s="5293">
        <f t="shared" ref="BP48:BP51" si="134">+O48-H48</f>
        <v>0</v>
      </c>
      <c r="BQ48" s="5293">
        <f t="shared" si="133"/>
        <v>0</v>
      </c>
      <c r="BU48" s="1">
        <v>0</v>
      </c>
      <c r="BV48" s="816" t="e">
        <f t="shared" si="125"/>
        <v>#DIV/0!</v>
      </c>
    </row>
    <row r="49" spans="1:74">
      <c r="A49" s="5538">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492">
        <f>+'Phụ lục số 1'!J49</f>
        <v>2000</v>
      </c>
      <c r="K49" s="158"/>
      <c r="L49" s="158"/>
      <c r="M49" s="5493">
        <f>+'Phụ lục số 1'!M49</f>
        <v>0</v>
      </c>
      <c r="N49" s="5493">
        <f t="shared" si="123"/>
        <v>2000</v>
      </c>
      <c r="O49" s="5493">
        <f>+'Phụ lục số 1'!O49</f>
        <v>0</v>
      </c>
      <c r="P49" s="5493">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48">
        <f>+'Phụ lục số 1'!AH49</f>
        <v>2000</v>
      </c>
      <c r="AI49" s="5524">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16">
        <f t="shared" si="12"/>
        <v>1</v>
      </c>
      <c r="BC49" s="1729">
        <f t="shared" si="13"/>
        <v>6000</v>
      </c>
      <c r="BE49" s="1729">
        <f t="shared" si="14"/>
        <v>6000</v>
      </c>
      <c r="BM49" s="1729">
        <f t="shared" si="108"/>
        <v>0</v>
      </c>
      <c r="BN49" s="1729">
        <f t="shared" si="109"/>
        <v>0</v>
      </c>
      <c r="BO49" s="1729">
        <f t="shared" si="132"/>
        <v>0</v>
      </c>
      <c r="BP49" s="5293">
        <f t="shared" si="134"/>
        <v>0</v>
      </c>
      <c r="BQ49" s="5293">
        <f t="shared" si="133"/>
        <v>0</v>
      </c>
      <c r="BR49" s="4"/>
      <c r="BU49" s="6">
        <f>+'Biểu số 1'!AZ49</f>
        <v>2116</v>
      </c>
      <c r="BV49" s="816">
        <f t="shared" si="125"/>
        <v>-5.4820415879016982E-2</v>
      </c>
    </row>
    <row r="50" spans="1:74">
      <c r="A50" s="5538">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492">
        <f>+'Phụ lục số 1'!J50</f>
        <v>2150000</v>
      </c>
      <c r="K50" s="158"/>
      <c r="L50" s="158"/>
      <c r="M50" s="5493">
        <f>+'Phụ lục số 1'!M50</f>
        <v>0</v>
      </c>
      <c r="N50" s="5493">
        <f t="shared" si="123"/>
        <v>2150000</v>
      </c>
      <c r="O50" s="5493">
        <f>+'Phụ lục số 1'!O50</f>
        <v>2150000</v>
      </c>
      <c r="P50" s="5493">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48">
        <f>+'Phụ lục số 1'!AH50</f>
        <v>0</v>
      </c>
      <c r="AI50" s="5524">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16">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293">
        <f t="shared" si="134"/>
        <v>200000</v>
      </c>
      <c r="BQ50" s="5293">
        <f t="shared" si="133"/>
        <v>0</v>
      </c>
      <c r="BR50" s="4"/>
      <c r="BU50" s="6">
        <f>+'Biểu số 1'!AZ50</f>
        <v>2017388</v>
      </c>
      <c r="BV50" s="816">
        <f t="shared" si="125"/>
        <v>6.5734504220308576E-2</v>
      </c>
    </row>
    <row r="51" spans="1:74" s="5302" customFormat="1">
      <c r="A51" s="5534"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494">
        <f>+'Phụ lục số 1'!J51</f>
        <v>409999.569416666</v>
      </c>
      <c r="K51" s="5495"/>
      <c r="L51" s="5495"/>
      <c r="M51" s="5496">
        <f>+'Phụ lục số 1'!M51</f>
        <v>409999.56941666594</v>
      </c>
      <c r="N51" s="5493">
        <f t="shared" si="123"/>
        <v>5.8207660913467407E-11</v>
      </c>
      <c r="O51" s="5493">
        <f>+'Phụ lục số 1'!O51</f>
        <v>5.8207660913467407E-11</v>
      </c>
      <c r="P51" s="5493">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48">
        <f>+'Phụ lục số 1'!AH51</f>
        <v>0</v>
      </c>
      <c r="AI51" s="5525">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16">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293">
        <f t="shared" si="134"/>
        <v>5.8207660913467407E-11</v>
      </c>
      <c r="BQ51" s="5293">
        <f t="shared" si="133"/>
        <v>0</v>
      </c>
      <c r="BR51" s="739"/>
      <c r="BU51" s="5415">
        <f>+'Biểu số 1'!AZ51</f>
        <v>281887.67128599994</v>
      </c>
      <c r="BV51" s="5416">
        <f t="shared" si="125"/>
        <v>0.45447854298205614</v>
      </c>
    </row>
    <row r="52" spans="1:74" hidden="1">
      <c r="A52" s="5538"/>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48">
        <f>+'Phụ lục số 1'!AH52</f>
        <v>0</v>
      </c>
      <c r="AI52" s="5523">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16">
        <f t="shared" si="12"/>
        <v>1.0369062076312157</v>
      </c>
      <c r="BC52" s="1729">
        <f t="shared" si="13"/>
        <v>748000</v>
      </c>
      <c r="BE52" s="1729">
        <f t="shared" si="14"/>
        <v>0</v>
      </c>
      <c r="BH52" s="1729">
        <f>+BH50-BH51</f>
        <v>-1600000</v>
      </c>
    </row>
    <row r="53" spans="1:74" hidden="1">
      <c r="A53" s="5538"/>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48">
        <f>+'Phụ lục số 1'!AH53</f>
        <v>0</v>
      </c>
      <c r="AI53" s="5523">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16">
        <f t="shared" si="12"/>
        <v>0.74781813275376863</v>
      </c>
      <c r="BC53" s="1729">
        <f t="shared" si="13"/>
        <v>327000</v>
      </c>
      <c r="BE53" s="1729">
        <f t="shared" si="14"/>
        <v>0</v>
      </c>
    </row>
    <row r="54" spans="1:74" hidden="1">
      <c r="A54" s="5538"/>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48">
        <f>+'Phụ lục số 1'!AH54</f>
        <v>0</v>
      </c>
      <c r="AI54" s="5523">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16">
        <f t="shared" si="12"/>
        <v>0.93429891316532587</v>
      </c>
      <c r="BC54" s="1729">
        <f t="shared" si="13"/>
        <v>13000</v>
      </c>
      <c r="BE54" s="1729">
        <f t="shared" si="14"/>
        <v>0</v>
      </c>
    </row>
    <row r="55" spans="1:74" hidden="1">
      <c r="A55" s="5538"/>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48">
        <f>+'Phụ lục số 1'!AH55</f>
        <v>0</v>
      </c>
      <c r="AI55" s="5523"/>
      <c r="AJ55" s="157"/>
      <c r="AK55" s="157"/>
      <c r="AL55" s="157"/>
      <c r="AM55" s="157"/>
      <c r="AN55" s="157"/>
      <c r="AO55" s="157"/>
      <c r="AP55" s="157"/>
      <c r="AQ55" s="157"/>
      <c r="AR55" s="157"/>
      <c r="AS55" s="157"/>
      <c r="AT55" s="157"/>
      <c r="AU55" s="157"/>
      <c r="AV55" s="157"/>
      <c r="AW55" s="157"/>
      <c r="AX55" s="157"/>
      <c r="AY55" s="157"/>
      <c r="AZ55" s="157"/>
      <c r="BB55" s="5516" t="e">
        <f t="shared" si="12"/>
        <v>#DIV/0!</v>
      </c>
      <c r="BC55" s="1729">
        <f t="shared" si="13"/>
        <v>1000</v>
      </c>
      <c r="BE55" s="1729">
        <f t="shared" si="14"/>
        <v>0</v>
      </c>
    </row>
    <row r="56" spans="1:74" s="4" customFormat="1">
      <c r="A56" s="5538" t="s">
        <v>182</v>
      </c>
      <c r="B56" s="165" t="s">
        <v>3231</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48">
        <f>+'Phụ lục số 1'!AH56</f>
        <v>0</v>
      </c>
      <c r="AI56" s="5524"/>
      <c r="AJ56" s="142"/>
      <c r="AK56" s="142"/>
      <c r="AL56" s="142"/>
      <c r="AM56" s="142"/>
      <c r="AN56" s="142"/>
      <c r="AO56" s="142"/>
      <c r="AP56" s="142"/>
      <c r="AQ56" s="142"/>
      <c r="AR56" s="142"/>
      <c r="AS56" s="142"/>
      <c r="AT56" s="142"/>
      <c r="AU56" s="142"/>
      <c r="AV56" s="142"/>
      <c r="AW56" s="142"/>
      <c r="AX56" s="142"/>
      <c r="AY56" s="142"/>
      <c r="AZ56" s="142"/>
      <c r="BB56" s="5516" t="e">
        <f t="shared" si="12"/>
        <v>#DIV/0!</v>
      </c>
      <c r="BC56" s="1729">
        <f t="shared" si="13"/>
        <v>5553.7960000000003</v>
      </c>
      <c r="BE56" s="1729">
        <f t="shared" si="14"/>
        <v>5553.7960000000003</v>
      </c>
    </row>
    <row r="57" spans="1:74">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35">
        <f t="shared" si="166"/>
        <v>0</v>
      </c>
      <c r="AI57" s="5520">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02" customFormat="1">
      <c r="A58" s="5534"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00"/>
      <c r="L58" s="5300"/>
      <c r="M58" s="5300"/>
      <c r="N58" s="173">
        <f>6487488+N59</f>
        <v>6617188</v>
      </c>
      <c r="O58" s="5496">
        <f>+'Phụ lục số 1'!O58</f>
        <v>6617188</v>
      </c>
      <c r="P58" s="5496">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495"/>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48">
        <f>+'Phụ lục số 1'!AH58</f>
        <v>0</v>
      </c>
      <c r="AI58" s="5520">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c r="BC58" s="1729">
        <f t="shared" si="13"/>
        <v>20248464</v>
      </c>
      <c r="BE58" s="1729">
        <f t="shared" si="14"/>
        <v>20248464</v>
      </c>
    </row>
    <row r="59" spans="1:74" s="5" customFormat="1" hidden="1">
      <c r="A59" s="5550"/>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496">
        <f>+'Phụ lục số 1'!O59</f>
        <v>129700</v>
      </c>
      <c r="P59" s="5496">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51"/>
      <c r="AI59" s="5526">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34" t="s">
        <v>33</v>
      </c>
      <c r="B60" s="1928" t="s">
        <v>3187</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496">
        <f>+'Phụ lục số 1'!O60</f>
        <v>813783</v>
      </c>
      <c r="P60" s="5496">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495"/>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48">
        <f>+'Phụ lục số 1'!AH60</f>
        <v>0</v>
      </c>
      <c r="AI60" s="5525">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34"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35">
        <f t="shared" si="176"/>
        <v>0</v>
      </c>
      <c r="AI61" s="5520">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38">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52">
        <f t="shared" si="184"/>
        <v>0</v>
      </c>
      <c r="AI62" s="5527">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46"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498">
        <f>+'Phụ lục số 1'!O63</f>
        <v>1681570</v>
      </c>
      <c r="P63" s="5498">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47">
        <f>+'Phụ lục số 1'!AH63</f>
        <v>0</v>
      </c>
      <c r="AI63" s="5526">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46"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498">
        <f>+'Phụ lục số 1'!O64</f>
        <v>132921</v>
      </c>
      <c r="P64" s="5498">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47">
        <f>+'Phụ lục số 1'!AH64</f>
        <v>0</v>
      </c>
      <c r="AI64" s="5526">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52">
        <f t="shared" si="198"/>
        <v>0</v>
      </c>
      <c r="AI65" s="5527">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46"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498">
        <f>+'Phụ lục số 1'!O66</f>
        <v>72469</v>
      </c>
      <c r="P66" s="5498">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47">
        <f>+'Phụ lục số 1'!AH66</f>
        <v>0</v>
      </c>
      <c r="AI66" s="5526">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46"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47">
        <f>+'Phụ lục số 1'!AH67</f>
        <v>0</v>
      </c>
      <c r="AI67" s="5526">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38">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52">
        <f t="shared" si="210"/>
        <v>0</v>
      </c>
      <c r="AI68" s="5527">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46"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47">
        <f>+'Phụ lục số 1'!AH69</f>
        <v>0</v>
      </c>
      <c r="AI69" s="5526">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46"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497">
        <f>+'Phụ lục số 1'!U70</f>
        <v>284586</v>
      </c>
      <c r="V70" s="5497">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47">
        <f>+'Phụ lục số 1'!AH70</f>
        <v>0</v>
      </c>
      <c r="AI70" s="5526">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34"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493">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47">
        <f>+'Phụ lục số 1'!AH71</f>
        <v>423808.64281757525</v>
      </c>
      <c r="AI71" s="5524">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34"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493">
        <f>+'Phụ lục số 1'!O72</f>
        <v>0</v>
      </c>
      <c r="P72" s="5493">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47">
        <f>+'Phụ lục số 1'!AH72</f>
        <v>0</v>
      </c>
      <c r="AI72" s="5524">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1610">
        <f>SUM(V10,V57,V71,V72)</f>
        <v>4673300</v>
      </c>
      <c r="W73" s="1610">
        <f>SUM(W10,W57,W71,W72)</f>
        <v>23509975</v>
      </c>
      <c r="X73" s="5796"/>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57"/>
      <c r="AE73" s="1610">
        <f>SUM(AE10,AE57,AE71,AE72)</f>
        <v>1282977.652689477</v>
      </c>
      <c r="AF73" s="1610">
        <f>SUM(AF10,AF57,AF71,AF72)</f>
        <v>23058214.499822237</v>
      </c>
      <c r="AG73" s="1610">
        <f>SUM(AG10,AG57,AG71,AG72)</f>
        <v>17871125.956189539</v>
      </c>
      <c r="AH73" s="5558">
        <f>SUM(AH10,AH57,AH71,AH72)</f>
        <v>5187088.5436326973</v>
      </c>
      <c r="AI73" s="5528">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24">+U71+U60+U58+U10</f>
        <v>13849302.196</v>
      </c>
      <c r="V90" s="1729">
        <f t="shared" si="224"/>
        <v>4673300</v>
      </c>
      <c r="Z90" s="6"/>
      <c r="AF90" s="6"/>
      <c r="AL90" s="6"/>
      <c r="AR90" s="6"/>
      <c r="AX90" s="6"/>
    </row>
    <row r="91" spans="7:50">
      <c r="J91" s="5425">
        <f>+J90+J89</f>
        <v>9668054</v>
      </c>
      <c r="N91" s="6"/>
      <c r="Q91" s="1" t="s">
        <v>3259</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57" t="s">
        <v>1421</v>
      </c>
      <c r="N111" s="6057"/>
      <c r="O111" s="6057"/>
      <c r="P111" s="6057"/>
      <c r="S111" s="6059" t="s">
        <v>1423</v>
      </c>
      <c r="T111" s="6059"/>
      <c r="U111" s="6059"/>
      <c r="V111" s="6059"/>
      <c r="Y111" s="6057" t="s">
        <v>1426</v>
      </c>
      <c r="Z111" s="6057"/>
      <c r="AA111" s="6057"/>
      <c r="AB111" s="6057"/>
      <c r="AE111" s="6057" t="s">
        <v>1426</v>
      </c>
      <c r="AF111" s="6057"/>
      <c r="AG111" s="6057"/>
      <c r="AH111" s="6057"/>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57" t="s">
        <v>1422</v>
      </c>
      <c r="N119" s="6057"/>
      <c r="O119" s="6057"/>
      <c r="P119" s="6057"/>
      <c r="S119" s="6059" t="s">
        <v>1425</v>
      </c>
      <c r="T119" s="6059"/>
      <c r="U119" s="6059"/>
      <c r="V119" s="6059"/>
      <c r="Y119" s="6057" t="s">
        <v>1427</v>
      </c>
      <c r="Z119" s="6057"/>
      <c r="AA119" s="6057"/>
      <c r="AB119" s="6057"/>
      <c r="AE119" s="6057" t="s">
        <v>1427</v>
      </c>
      <c r="AF119" s="6057"/>
      <c r="AG119" s="6057"/>
      <c r="AH119" s="6057"/>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58" t="s">
        <v>1428</v>
      </c>
      <c r="N128" s="6058"/>
      <c r="O128" s="6058"/>
      <c r="P128" s="6058"/>
      <c r="S128" s="6058" t="s">
        <v>1429</v>
      </c>
      <c r="T128" s="6058"/>
      <c r="U128" s="6058"/>
      <c r="V128" s="6058"/>
      <c r="Y128" s="6058" t="s">
        <v>1429</v>
      </c>
      <c r="Z128" s="6058"/>
      <c r="AA128" s="6058"/>
      <c r="AB128" s="6058"/>
      <c r="AE128" s="6058" t="s">
        <v>1429</v>
      </c>
      <c r="AF128" s="6058"/>
      <c r="AG128" s="6058"/>
      <c r="AH128" s="6058"/>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058" t="s">
        <v>1415</v>
      </c>
      <c r="B1" s="6058"/>
      <c r="C1" s="6058"/>
      <c r="D1" s="6058"/>
      <c r="E1" s="6058"/>
      <c r="F1" s="6058"/>
      <c r="G1" s="6058"/>
      <c r="H1" s="6058"/>
      <c r="I1" s="6058"/>
      <c r="J1" s="6058"/>
      <c r="K1" s="6058"/>
      <c r="L1" s="6058"/>
      <c r="M1" s="6058"/>
      <c r="N1" s="6058"/>
      <c r="O1" s="6058"/>
      <c r="P1" s="6058"/>
      <c r="Q1" s="6058"/>
      <c r="R1" s="6058"/>
      <c r="S1" s="6058"/>
      <c r="T1" s="6058"/>
      <c r="U1" s="6058"/>
      <c r="V1" s="6058"/>
      <c r="W1" s="6058"/>
      <c r="X1" s="6058"/>
      <c r="Y1" s="6058"/>
      <c r="Z1" s="6058"/>
      <c r="AA1" s="6058"/>
      <c r="AB1" s="6058"/>
      <c r="AC1" s="6058"/>
      <c r="AD1" s="6058"/>
      <c r="AE1" s="6058"/>
      <c r="AF1" s="6058"/>
      <c r="AG1" s="6058"/>
      <c r="AH1" s="6058"/>
    </row>
    <row r="2" spans="1:44" s="1" customFormat="1" ht="15.6">
      <c r="A2" s="6058" t="s">
        <v>3267</v>
      </c>
      <c r="B2" s="6058"/>
      <c r="C2" s="6058"/>
      <c r="D2" s="6058"/>
      <c r="E2" s="6058"/>
      <c r="F2" s="6058"/>
      <c r="G2" s="6058"/>
      <c r="H2" s="6058"/>
      <c r="I2" s="6058"/>
      <c r="J2" s="6058"/>
      <c r="K2" s="6058"/>
      <c r="L2" s="6058"/>
      <c r="M2" s="6058"/>
      <c r="N2" s="6058"/>
      <c r="O2" s="6058"/>
      <c r="P2" s="6058"/>
      <c r="Q2" s="6058"/>
      <c r="R2" s="6058"/>
      <c r="S2" s="6058"/>
      <c r="T2" s="6058"/>
      <c r="U2" s="6058"/>
      <c r="V2" s="6058"/>
      <c r="W2" s="6058"/>
      <c r="X2" s="6058"/>
      <c r="Y2" s="6058"/>
      <c r="Z2" s="6058"/>
      <c r="AA2" s="6058"/>
      <c r="AB2" s="6058"/>
      <c r="AC2" s="6058"/>
      <c r="AD2" s="6058"/>
      <c r="AE2" s="6058"/>
      <c r="AF2" s="6058"/>
      <c r="AG2" s="6058"/>
      <c r="AH2" s="6058"/>
    </row>
    <row r="3" spans="1:44" s="1" customFormat="1" ht="15.6">
      <c r="A3" s="6061" t="str">
        <f>+'Phụ lục số 1'!A3:V3</f>
        <v>(Kèm theo Báo cáo số     462/BC-UBND ngày 22 tháng 11 năm 2024 của Ủy ban nhân dân tỉnh Đồng Tháp)</v>
      </c>
      <c r="B3" s="6061"/>
      <c r="C3" s="6061"/>
      <c r="D3" s="6061"/>
      <c r="E3" s="6061"/>
      <c r="F3" s="6061"/>
      <c r="G3" s="6061"/>
      <c r="H3" s="6061"/>
      <c r="I3" s="6061"/>
      <c r="J3" s="6061"/>
      <c r="K3" s="6061"/>
      <c r="L3" s="6061"/>
      <c r="M3" s="6061"/>
      <c r="N3" s="6061"/>
      <c r="O3" s="6061"/>
      <c r="P3" s="6061"/>
      <c r="Q3" s="6061"/>
      <c r="R3" s="6061"/>
      <c r="S3" s="6061"/>
      <c r="T3" s="6061"/>
      <c r="U3" s="6061"/>
      <c r="V3" s="6061"/>
      <c r="W3" s="6061"/>
      <c r="X3" s="6061"/>
      <c r="Y3" s="6061"/>
      <c r="Z3" s="6061"/>
      <c r="AA3" s="6061"/>
      <c r="AB3" s="6061"/>
      <c r="AC3" s="6061"/>
      <c r="AD3" s="6061"/>
      <c r="AE3" s="6061"/>
      <c r="AF3" s="6061"/>
      <c r="AG3" s="6061"/>
      <c r="AH3" s="6061"/>
    </row>
    <row r="4" spans="1:44">
      <c r="B4" s="30" t="s">
        <v>117</v>
      </c>
      <c r="H4" s="32"/>
      <c r="K4" s="30" t="s">
        <v>117</v>
      </c>
      <c r="L4" s="1807"/>
      <c r="M4" s="4802"/>
      <c r="N4" s="4801"/>
      <c r="O4" s="1734"/>
      <c r="P4" s="1733"/>
      <c r="W4" s="32"/>
    </row>
    <row r="5" spans="1:44" ht="14.4" thickBot="1">
      <c r="C5" s="2172"/>
      <c r="D5" s="1732"/>
      <c r="E5" s="32"/>
      <c r="H5" s="2194"/>
      <c r="I5" s="2195">
        <f>+H24/C24</f>
        <v>1.1805673046257137</v>
      </c>
      <c r="J5" s="2195">
        <f>+H24/D24</f>
        <v>1.1443970047408194</v>
      </c>
      <c r="K5" s="5427"/>
      <c r="L5" s="2194"/>
      <c r="M5" s="2196" t="s">
        <v>417</v>
      </c>
      <c r="N5" s="2195" t="s">
        <v>417</v>
      </c>
      <c r="O5" s="6539" t="s">
        <v>246</v>
      </c>
      <c r="P5" s="6540"/>
      <c r="Q5" s="6540"/>
      <c r="W5" s="32"/>
      <c r="AB5" s="32">
        <f>+AB12-W12</f>
        <v>145192.33059160877</v>
      </c>
      <c r="AH5" s="32">
        <f>+AG12-AB12</f>
        <v>147933.86194426846</v>
      </c>
      <c r="AM5" s="32">
        <f>+AL12-AG12</f>
        <v>137051.38857663446</v>
      </c>
    </row>
    <row r="6" spans="1:44" s="1735" customFormat="1" ht="15" customHeight="1" thickTop="1">
      <c r="A6" s="6541" t="s">
        <v>136</v>
      </c>
      <c r="B6" s="6543" t="s">
        <v>137</v>
      </c>
      <c r="C6" s="6544" t="s">
        <v>140</v>
      </c>
      <c r="D6" s="6545"/>
      <c r="E6" s="6545"/>
      <c r="F6" s="6545"/>
      <c r="G6" s="6546"/>
      <c r="H6" s="6547" t="s">
        <v>120</v>
      </c>
      <c r="I6" s="6547"/>
      <c r="J6" s="6547"/>
      <c r="K6" s="6547"/>
      <c r="L6" s="6547"/>
      <c r="M6" s="6547" t="s">
        <v>121</v>
      </c>
      <c r="N6" s="6547"/>
      <c r="O6" s="6547"/>
      <c r="P6" s="6547"/>
      <c r="Q6" s="6547"/>
      <c r="R6" s="6537" t="s">
        <v>187</v>
      </c>
      <c r="S6" s="6537"/>
      <c r="T6" s="6537"/>
      <c r="U6" s="6537"/>
      <c r="V6" s="6537"/>
      <c r="W6" s="6537" t="s">
        <v>188</v>
      </c>
      <c r="X6" s="6537"/>
      <c r="Y6" s="6537"/>
      <c r="Z6" s="6537"/>
      <c r="AA6" s="6538"/>
      <c r="AB6" s="6078" t="s">
        <v>189</v>
      </c>
      <c r="AC6" s="6079"/>
      <c r="AD6" s="6079"/>
      <c r="AE6" s="6079"/>
      <c r="AF6" s="6079"/>
      <c r="AG6" s="6079" t="s">
        <v>190</v>
      </c>
      <c r="AH6" s="6079"/>
      <c r="AI6" s="6079"/>
      <c r="AJ6" s="6079"/>
      <c r="AK6" s="6079"/>
      <c r="AL6" s="6079" t="s">
        <v>193</v>
      </c>
      <c r="AM6" s="6079"/>
      <c r="AN6" s="6079"/>
      <c r="AO6" s="6079"/>
      <c r="AP6" s="6079"/>
    </row>
    <row r="7" spans="1:44" s="29" customFormat="1" ht="15" customHeight="1">
      <c r="A7" s="6542"/>
      <c r="B7" s="6073"/>
      <c r="C7" s="6072" t="s">
        <v>119</v>
      </c>
      <c r="D7" s="6072" t="s">
        <v>118</v>
      </c>
      <c r="E7" s="6072" t="s">
        <v>69</v>
      </c>
      <c r="F7" s="6076" t="s">
        <v>186</v>
      </c>
      <c r="G7" s="6078"/>
      <c r="H7" s="6079" t="s">
        <v>59</v>
      </c>
      <c r="I7" s="6079" t="s">
        <v>69</v>
      </c>
      <c r="J7" s="6079" t="s">
        <v>1417</v>
      </c>
      <c r="K7" s="6079" t="s">
        <v>186</v>
      </c>
      <c r="L7" s="6079"/>
      <c r="M7" s="6079" t="s">
        <v>59</v>
      </c>
      <c r="N7" s="6079" t="s">
        <v>69</v>
      </c>
      <c r="O7" s="6079" t="s">
        <v>194</v>
      </c>
      <c r="P7" s="6079" t="s">
        <v>186</v>
      </c>
      <c r="Q7" s="6079"/>
      <c r="R7" s="6079" t="s">
        <v>59</v>
      </c>
      <c r="S7" s="6079" t="s">
        <v>69</v>
      </c>
      <c r="T7" s="6079" t="s">
        <v>195</v>
      </c>
      <c r="U7" s="6079" t="s">
        <v>186</v>
      </c>
      <c r="V7" s="6079"/>
      <c r="W7" s="6079" t="s">
        <v>59</v>
      </c>
      <c r="X7" s="6079" t="s">
        <v>69</v>
      </c>
      <c r="Y7" s="6079" t="s">
        <v>196</v>
      </c>
      <c r="Z7" s="6079" t="s">
        <v>186</v>
      </c>
      <c r="AA7" s="6536"/>
      <c r="AB7" s="6078" t="s">
        <v>59</v>
      </c>
      <c r="AC7" s="6079" t="s">
        <v>69</v>
      </c>
      <c r="AD7" s="6079" t="s">
        <v>197</v>
      </c>
      <c r="AE7" s="6079" t="s">
        <v>186</v>
      </c>
      <c r="AF7" s="6079"/>
      <c r="AG7" s="6079" t="s">
        <v>59</v>
      </c>
      <c r="AH7" s="6079" t="s">
        <v>69</v>
      </c>
      <c r="AI7" s="6079" t="s">
        <v>198</v>
      </c>
      <c r="AJ7" s="6079" t="s">
        <v>186</v>
      </c>
      <c r="AK7" s="6079"/>
      <c r="AL7" s="6079" t="s">
        <v>59</v>
      </c>
      <c r="AM7" s="6079" t="s">
        <v>69</v>
      </c>
      <c r="AN7" s="6079" t="s">
        <v>199</v>
      </c>
      <c r="AO7" s="6079" t="s">
        <v>186</v>
      </c>
      <c r="AP7" s="6079"/>
    </row>
    <row r="8" spans="1:44" s="29" customFormat="1" ht="96" customHeight="1">
      <c r="A8" s="6542"/>
      <c r="B8" s="6074"/>
      <c r="C8" s="6074"/>
      <c r="D8" s="6074"/>
      <c r="E8" s="6074"/>
      <c r="F8" s="1736" t="s">
        <v>138</v>
      </c>
      <c r="G8" s="1736" t="s">
        <v>139</v>
      </c>
      <c r="H8" s="6079"/>
      <c r="I8" s="6079"/>
      <c r="J8" s="6079"/>
      <c r="K8" s="1736" t="s">
        <v>138</v>
      </c>
      <c r="L8" s="1736" t="s">
        <v>139</v>
      </c>
      <c r="M8" s="6079"/>
      <c r="N8" s="6079"/>
      <c r="O8" s="6079"/>
      <c r="P8" s="1736" t="s">
        <v>138</v>
      </c>
      <c r="Q8" s="1736" t="s">
        <v>139</v>
      </c>
      <c r="R8" s="6079"/>
      <c r="S8" s="6079"/>
      <c r="T8" s="6079"/>
      <c r="U8" s="1736" t="s">
        <v>138</v>
      </c>
      <c r="V8" s="1736" t="s">
        <v>139</v>
      </c>
      <c r="W8" s="6079"/>
      <c r="X8" s="6079"/>
      <c r="Y8" s="6079"/>
      <c r="Z8" s="1736" t="s">
        <v>138</v>
      </c>
      <c r="AA8" s="5574" t="s">
        <v>139</v>
      </c>
      <c r="AB8" s="6078"/>
      <c r="AC8" s="6079"/>
      <c r="AD8" s="6079"/>
      <c r="AE8" s="1736" t="s">
        <v>138</v>
      </c>
      <c r="AF8" s="1736" t="s">
        <v>139</v>
      </c>
      <c r="AG8" s="6079"/>
      <c r="AH8" s="6079"/>
      <c r="AI8" s="6079"/>
      <c r="AJ8" s="1736" t="s">
        <v>138</v>
      </c>
      <c r="AK8" s="1736" t="s">
        <v>139</v>
      </c>
      <c r="AL8" s="6079"/>
      <c r="AM8" s="6079"/>
      <c r="AN8" s="6079"/>
      <c r="AO8" s="1736" t="s">
        <v>138</v>
      </c>
      <c r="AP8" s="1736" t="s">
        <v>139</v>
      </c>
    </row>
    <row r="9" spans="1:44" s="124" customFormat="1">
      <c r="A9" s="5575"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11">
        <f>AA10+AA41+AA51</f>
        <v>12265440.451343574</v>
      </c>
      <c r="AB9" s="5559">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38">
        <f>+W9+R9+M9</f>
        <v>66739128.669223242</v>
      </c>
    </row>
    <row r="10" spans="1:44" s="31" customFormat="1">
      <c r="A10" s="5577"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60">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38">
        <f t="shared" ref="AR10:AR54" si="1">+W10+R10+M10</f>
        <v>57622598.873223245</v>
      </c>
    </row>
    <row r="11" spans="1:44">
      <c r="A11" s="5577">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78">
        <f>+AA12+AA13+AA15+AA17+AA18</f>
        <v>1877763.9808369365</v>
      </c>
      <c r="AB11" s="5568">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38">
        <f t="shared" si="1"/>
        <v>15212809.799999749</v>
      </c>
    </row>
    <row r="12" spans="1:44">
      <c r="A12" s="5579"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789">
        <f>+'Phụ lục số 2'!P11</f>
        <v>376890</v>
      </c>
      <c r="Q12" s="4789">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09">
        <f>+'Phụ lục số 2'!Z11</f>
        <v>720943.77570589993</v>
      </c>
      <c r="AA12" s="5812">
        <f>+'Phụ lục số 2'!AA11</f>
        <v>617763.98083693651</v>
      </c>
      <c r="AB12" s="5562">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38">
        <f t="shared" si="1"/>
        <v>3512809.7999997493</v>
      </c>
    </row>
    <row r="13" spans="1:44">
      <c r="A13" s="5579"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789">
        <f>+'Phụ lục số 2'!P12</f>
        <v>506500</v>
      </c>
      <c r="Q13" s="4789">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09">
        <f>+'Phụ lục số 2'!Z12</f>
        <v>540000</v>
      </c>
      <c r="AA13" s="5812">
        <f>+'Phụ lục số 2'!AA12</f>
        <v>1260000</v>
      </c>
      <c r="AB13" s="5562">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38">
        <f t="shared" si="1"/>
        <v>5200000</v>
      </c>
    </row>
    <row r="14" spans="1:44" s="29" customFormat="1" ht="69">
      <c r="A14" s="5581" t="s">
        <v>29</v>
      </c>
      <c r="B14" s="5231" t="s">
        <v>3189</v>
      </c>
      <c r="C14" s="1765">
        <f>+'Phụ lục số 2'!C13</f>
        <v>0</v>
      </c>
      <c r="D14" s="1765">
        <f>+'Phụ lục số 2'!D13</f>
        <v>0</v>
      </c>
      <c r="E14" s="1766"/>
      <c r="F14" s="5309">
        <f>+'Phụ lục số 2'!F13</f>
        <v>0</v>
      </c>
      <c r="G14" s="5309">
        <f>+'Phụ lục số 2'!G13</f>
        <v>0</v>
      </c>
      <c r="H14" s="196"/>
      <c r="I14" s="1767"/>
      <c r="J14" s="1768"/>
      <c r="K14" s="196">
        <f>+'Phụ lục số 2'!K13</f>
        <v>0</v>
      </c>
      <c r="L14" s="196">
        <f>+'Phụ lục số 2'!L13</f>
        <v>0</v>
      </c>
      <c r="M14" s="4789">
        <f t="shared" si="6"/>
        <v>160000</v>
      </c>
      <c r="N14" s="1767"/>
      <c r="O14" s="1770"/>
      <c r="P14" s="4789">
        <f>+'Phụ lục số 2'!P13</f>
        <v>160000</v>
      </c>
      <c r="Q14" s="4789">
        <f>+'Phụ lục số 2'!Q13</f>
        <v>0</v>
      </c>
      <c r="R14" s="1620">
        <f>SUM(U14:V14)</f>
        <v>180000</v>
      </c>
      <c r="S14" s="4943"/>
      <c r="T14" s="4944"/>
      <c r="U14" s="1620">
        <f>+'Phụ lục số 2'!U13</f>
        <v>180000</v>
      </c>
      <c r="V14" s="1620">
        <f>+'Phụ lục số 2'!V13</f>
        <v>0</v>
      </c>
      <c r="W14" s="1620">
        <f>SUM(Z14:AA14)</f>
        <v>180000</v>
      </c>
      <c r="X14" s="1767"/>
      <c r="Y14" s="5310"/>
      <c r="Z14" s="1639">
        <f>+'Phụ lục số 2'!Z13</f>
        <v>180000</v>
      </c>
      <c r="AA14" s="1650">
        <f>+'Phụ lục số 2'!AA13</f>
        <v>0</v>
      </c>
      <c r="AB14" s="1831"/>
      <c r="AC14" s="1767"/>
      <c r="AD14" s="5311"/>
      <c r="AE14" s="196"/>
      <c r="AF14" s="196"/>
      <c r="AG14" s="196"/>
      <c r="AH14" s="5312"/>
      <c r="AI14" s="1777"/>
      <c r="AJ14" s="196"/>
      <c r="AK14" s="196"/>
      <c r="AL14" s="196"/>
      <c r="AM14" s="1767"/>
      <c r="AN14" s="1777"/>
      <c r="AO14" s="196"/>
      <c r="AP14" s="196"/>
      <c r="AR14" s="5138">
        <f t="shared" si="1"/>
        <v>520000</v>
      </c>
    </row>
    <row r="15" spans="1:44">
      <c r="A15" s="5579"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789">
        <f>+'Phụ lục số 2'!P14</f>
        <v>2100000</v>
      </c>
      <c r="Q15" s="4789">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09">
        <f>+'Phụ lục số 2'!Z14</f>
        <v>2200000</v>
      </c>
      <c r="AA15" s="5812">
        <f>+'Phụ lục số 2'!AA14</f>
        <v>0</v>
      </c>
      <c r="AB15" s="5562">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38">
        <f t="shared" si="1"/>
        <v>6500000</v>
      </c>
    </row>
    <row r="16" spans="1:44" s="5328" customFormat="1" ht="27.6">
      <c r="A16" s="5583" t="s">
        <v>29</v>
      </c>
      <c r="B16" s="5232" t="s">
        <v>3188</v>
      </c>
      <c r="C16" s="1765">
        <f>+'Phụ lục số 2'!C15</f>
        <v>0</v>
      </c>
      <c r="D16" s="1765">
        <f>+'Phụ lục số 2'!D15</f>
        <v>0</v>
      </c>
      <c r="E16" s="4942"/>
      <c r="F16" s="1765">
        <f>+'Phụ lục số 2'!F15</f>
        <v>0</v>
      </c>
      <c r="G16" s="1765">
        <f>+'Phụ lục số 2'!G15</f>
        <v>0</v>
      </c>
      <c r="H16" s="1620"/>
      <c r="I16" s="4943"/>
      <c r="J16" s="4944"/>
      <c r="K16" s="196">
        <f>+'Phụ lục số 2'!K15</f>
        <v>0</v>
      </c>
      <c r="L16" s="196">
        <f>+'Phụ lục số 2'!L15</f>
        <v>0</v>
      </c>
      <c r="M16" s="4789">
        <f t="shared" si="6"/>
        <v>100000</v>
      </c>
      <c r="N16" s="1767"/>
      <c r="O16" s="1770"/>
      <c r="P16" s="4789">
        <f>+'Phụ lục số 2'!P15</f>
        <v>100000</v>
      </c>
      <c r="Q16" s="4789">
        <f>+'Phụ lục số 2'!Q15</f>
        <v>0</v>
      </c>
      <c r="R16" s="1620">
        <f>SUM(U16:V16)</f>
        <v>120000</v>
      </c>
      <c r="S16" s="4943"/>
      <c r="T16" s="4944"/>
      <c r="U16" s="1620">
        <f>+'Phụ lục số 2'!U15</f>
        <v>120000</v>
      </c>
      <c r="V16" s="1620">
        <f>+'Phụ lục số 2'!V15</f>
        <v>0</v>
      </c>
      <c r="W16" s="1620">
        <f>SUM(Z16:AA16)</f>
        <v>135000</v>
      </c>
      <c r="X16" s="4943"/>
      <c r="Y16" s="5324"/>
      <c r="Z16" s="1639">
        <f>+'Phụ lục số 2'!Z15</f>
        <v>135000</v>
      </c>
      <c r="AA16" s="1650">
        <f>+'Phụ lục số 2'!AA15</f>
        <v>0</v>
      </c>
      <c r="AB16" s="5563"/>
      <c r="AC16" s="4943"/>
      <c r="AD16" s="5325"/>
      <c r="AE16" s="1620"/>
      <c r="AF16" s="1620"/>
      <c r="AG16" s="1620"/>
      <c r="AH16" s="5326"/>
      <c r="AI16" s="5327"/>
      <c r="AJ16" s="1620"/>
      <c r="AK16" s="1620"/>
      <c r="AL16" s="1620"/>
      <c r="AM16" s="4943"/>
      <c r="AN16" s="5327"/>
      <c r="AO16" s="1620"/>
      <c r="AP16" s="1620"/>
      <c r="AR16" s="5138">
        <f t="shared" si="1"/>
        <v>355000</v>
      </c>
    </row>
    <row r="17" spans="1:44">
      <c r="A17" s="5579"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789">
        <f>+'Phụ lục số 2'!P16</f>
        <v>0</v>
      </c>
      <c r="Q17" s="4789">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09">
        <f>+'Phụ lục số 2'!Z16</f>
        <v>0</v>
      </c>
      <c r="AA17" s="5812">
        <f>+'Phụ lục số 2'!AA16</f>
        <v>0</v>
      </c>
      <c r="AB17" s="5562">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38">
        <f t="shared" si="1"/>
        <v>0</v>
      </c>
    </row>
    <row r="18" spans="1:44">
      <c r="A18" s="5581"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789">
        <f>SUM(M19:M22)</f>
        <v>0</v>
      </c>
      <c r="N18" s="4790">
        <f t="shared" si="7"/>
        <v>0</v>
      </c>
      <c r="O18" s="1770">
        <f t="shared" si="0"/>
        <v>0</v>
      </c>
      <c r="P18" s="4789">
        <f>+'Phụ lục số 2'!P17</f>
        <v>0</v>
      </c>
      <c r="Q18" s="4789">
        <f>+'Phụ lục số 2'!Q17</f>
        <v>0</v>
      </c>
      <c r="R18" s="4789">
        <f>SUM(R19:R22)</f>
        <v>0</v>
      </c>
      <c r="S18" s="1771">
        <f>R18/$R$9*100</f>
        <v>0</v>
      </c>
      <c r="T18" s="1772" t="e">
        <f t="shared" si="20"/>
        <v>#DIV/0!</v>
      </c>
      <c r="U18" s="196">
        <f>+'Phụ lục số 2'!U17</f>
        <v>0</v>
      </c>
      <c r="V18" s="196">
        <f>+'Phụ lục số 2'!V17</f>
        <v>0</v>
      </c>
      <c r="W18" s="4789">
        <f>SUM(W19:W22)</f>
        <v>0</v>
      </c>
      <c r="X18" s="1771">
        <f t="shared" si="9"/>
        <v>0</v>
      </c>
      <c r="Y18" s="1773" t="e">
        <f t="shared" si="10"/>
        <v>#DIV/0!</v>
      </c>
      <c r="Z18" s="5309">
        <f>+'Phụ lục số 2'!Z17</f>
        <v>0</v>
      </c>
      <c r="AA18" s="5812">
        <f>+'Phụ lục số 2'!AA17</f>
        <v>0</v>
      </c>
      <c r="AB18" s="5562">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38">
        <f t="shared" si="1"/>
        <v>0</v>
      </c>
    </row>
    <row r="19" spans="1:44" s="4954" customFormat="1" ht="27.6" hidden="1">
      <c r="A19" s="5585" t="s">
        <v>3126</v>
      </c>
      <c r="B19" s="4781" t="s">
        <v>3142</v>
      </c>
      <c r="C19" s="1765">
        <f>+'Phụ lục số 2'!C18</f>
        <v>0</v>
      </c>
      <c r="D19" s="1765">
        <f>+'Phụ lục số 2'!D18</f>
        <v>60000</v>
      </c>
      <c r="E19" s="4942"/>
      <c r="F19" s="1639">
        <v>60000</v>
      </c>
      <c r="G19" s="4941"/>
      <c r="H19" s="1620">
        <f>SUM(K19:L19)</f>
        <v>60000</v>
      </c>
      <c r="I19" s="4943">
        <f t="shared" si="4"/>
        <v>0.30436985850133658</v>
      </c>
      <c r="J19" s="4944">
        <f t="shared" si="3"/>
        <v>1</v>
      </c>
      <c r="K19" s="1620">
        <v>60000</v>
      </c>
      <c r="L19" s="1620"/>
      <c r="M19" s="4945">
        <f>SUM(P19:Q19)</f>
        <v>0</v>
      </c>
      <c r="N19" s="4946">
        <f t="shared" si="7"/>
        <v>0</v>
      </c>
      <c r="O19" s="4947">
        <f t="shared" si="0"/>
        <v>0</v>
      </c>
      <c r="P19" s="4945"/>
      <c r="Q19" s="4945"/>
      <c r="R19" s="4945"/>
      <c r="S19" s="4948"/>
      <c r="T19" s="4949"/>
      <c r="U19" s="1622"/>
      <c r="V19" s="1622"/>
      <c r="W19" s="1622"/>
      <c r="X19" s="4948"/>
      <c r="Y19" s="4950"/>
      <c r="Z19" s="1622"/>
      <c r="AA19" s="5813"/>
      <c r="AB19" s="5566"/>
      <c r="AC19" s="4948"/>
      <c r="AD19" s="4951"/>
      <c r="AE19" s="1622"/>
      <c r="AF19" s="1622"/>
      <c r="AG19" s="1622"/>
      <c r="AH19" s="4952"/>
      <c r="AI19" s="4953"/>
      <c r="AJ19" s="1622"/>
      <c r="AK19" s="1622"/>
      <c r="AL19" s="1622"/>
      <c r="AM19" s="4948"/>
      <c r="AN19" s="4953"/>
      <c r="AO19" s="1622"/>
      <c r="AP19" s="1622"/>
      <c r="AR19" s="5138">
        <f t="shared" si="1"/>
        <v>0</v>
      </c>
    </row>
    <row r="20" spans="1:44" s="4954" customFormat="1" ht="69" hidden="1">
      <c r="A20" s="5585" t="s">
        <v>3127</v>
      </c>
      <c r="B20" s="4781" t="s">
        <v>3141</v>
      </c>
      <c r="C20" s="1765">
        <f>+'Phụ lục số 2'!C19</f>
        <v>0</v>
      </c>
      <c r="D20" s="1765">
        <f>+'Phụ lục số 2'!D19</f>
        <v>0</v>
      </c>
      <c r="E20" s="4942"/>
      <c r="F20" s="4941"/>
      <c r="G20" s="4941"/>
      <c r="H20" s="1620">
        <f>SUM(K20:L20)</f>
        <v>0</v>
      </c>
      <c r="I20" s="4943"/>
      <c r="J20" s="4944"/>
      <c r="K20" s="1620"/>
      <c r="L20" s="1620"/>
      <c r="M20" s="4945">
        <f>SUM(P20:Q20)</f>
        <v>0</v>
      </c>
      <c r="N20" s="4943"/>
      <c r="O20" s="4947"/>
      <c r="P20" s="4945"/>
      <c r="Q20" s="4955"/>
      <c r="R20" s="1622"/>
      <c r="S20" s="4948"/>
      <c r="T20" s="4949"/>
      <c r="U20" s="1622"/>
      <c r="V20" s="1622"/>
      <c r="W20" s="1622"/>
      <c r="X20" s="4948"/>
      <c r="Y20" s="4950"/>
      <c r="Z20" s="1622"/>
      <c r="AA20" s="5813"/>
      <c r="AB20" s="5566"/>
      <c r="AC20" s="4948"/>
      <c r="AD20" s="4951"/>
      <c r="AE20" s="1622"/>
      <c r="AF20" s="1622"/>
      <c r="AG20" s="1622"/>
      <c r="AH20" s="4952"/>
      <c r="AI20" s="4953"/>
      <c r="AJ20" s="1622"/>
      <c r="AK20" s="1622"/>
      <c r="AL20" s="1622"/>
      <c r="AM20" s="4948"/>
      <c r="AN20" s="4953"/>
      <c r="AO20" s="1622"/>
      <c r="AP20" s="1622"/>
      <c r="AR20" s="5138">
        <f t="shared" si="1"/>
        <v>0</v>
      </c>
    </row>
    <row r="21" spans="1:44" hidden="1">
      <c r="A21" s="4892" t="s">
        <v>3143</v>
      </c>
      <c r="B21" s="4780"/>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14"/>
      <c r="AB21" s="5562"/>
      <c r="AC21" s="1771"/>
      <c r="AD21" s="1774"/>
      <c r="AE21" s="1584"/>
      <c r="AF21" s="1584"/>
      <c r="AG21" s="1584"/>
      <c r="AH21" s="1775"/>
      <c r="AI21" s="1776"/>
      <c r="AJ21" s="1584"/>
      <c r="AK21" s="1584"/>
      <c r="AL21" s="1584"/>
      <c r="AM21" s="1771"/>
      <c r="AN21" s="1776"/>
      <c r="AO21" s="1584"/>
      <c r="AP21" s="1584"/>
      <c r="AR21" s="5138">
        <f t="shared" si="1"/>
        <v>0</v>
      </c>
    </row>
    <row r="22" spans="1:44" hidden="1">
      <c r="A22" s="4892" t="s">
        <v>3144</v>
      </c>
      <c r="B22" s="4780"/>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14"/>
      <c r="AB22" s="5562"/>
      <c r="AC22" s="1771"/>
      <c r="AD22" s="1774"/>
      <c r="AE22" s="1584"/>
      <c r="AF22" s="1584"/>
      <c r="AG22" s="1584"/>
      <c r="AH22" s="1775"/>
      <c r="AI22" s="1776"/>
      <c r="AJ22" s="1584"/>
      <c r="AK22" s="1584"/>
      <c r="AL22" s="1584"/>
      <c r="AM22" s="1771"/>
      <c r="AN22" s="1776"/>
      <c r="AO22" s="1584"/>
      <c r="AP22" s="1584"/>
      <c r="AR22" s="5138">
        <f t="shared" si="1"/>
        <v>0</v>
      </c>
    </row>
    <row r="23" spans="1:44" s="31" customFormat="1">
      <c r="A23" s="5577">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60">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38">
        <f t="shared" si="1"/>
        <v>39303539.001061976</v>
      </c>
    </row>
    <row r="24" spans="1:44">
      <c r="A24" s="5587"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595">
        <f>+'Phụ lục số 2'!AA23</f>
        <v>4923166.566969756</v>
      </c>
      <c r="AB24" s="5562">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38">
        <f t="shared" si="1"/>
        <v>17883874.820787944</v>
      </c>
    </row>
    <row r="25" spans="1:44">
      <c r="A25" s="5587"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595">
        <f>+'Phụ lục số 2'!AA24</f>
        <v>0</v>
      </c>
      <c r="AB25" s="5562">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38">
        <f t="shared" si="1"/>
        <v>96999.551865685469</v>
      </c>
    </row>
    <row r="26" spans="1:44">
      <c r="A26" s="5587" t="s">
        <v>147</v>
      </c>
      <c r="B26" s="1811" t="s">
        <v>3125</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595">
        <f>+'Phụ lục số 2'!AA25</f>
        <v>245267.15047193368</v>
      </c>
      <c r="AB26" s="5562">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38">
        <f t="shared" si="1"/>
        <v>1184888.6807430848</v>
      </c>
    </row>
    <row r="27" spans="1:44" hidden="1">
      <c r="A27" s="5588"/>
      <c r="B27" s="5217"/>
      <c r="C27" s="1584">
        <f>+'Phụ lục số 2'!C26</f>
        <v>0</v>
      </c>
      <c r="D27" s="1584">
        <f>+'Phụ lục số 2'!D26</f>
        <v>0</v>
      </c>
      <c r="E27" s="5220"/>
      <c r="F27" s="1584">
        <f>+'Phụ lục số 2'!F26</f>
        <v>0</v>
      </c>
      <c r="G27" s="1584">
        <f>+'Phụ lục số 2'!G26</f>
        <v>0</v>
      </c>
      <c r="H27" s="5218"/>
      <c r="I27" s="5222"/>
      <c r="J27" s="5223"/>
      <c r="K27" s="196">
        <f>+'Phụ lục số 2'!K26</f>
        <v>0</v>
      </c>
      <c r="L27" s="196">
        <f>+'Phụ lục số 2'!L26</f>
        <v>0</v>
      </c>
      <c r="M27" s="5218"/>
      <c r="N27" s="5222"/>
      <c r="O27" s="5225"/>
      <c r="P27" s="1769">
        <f>+'Phụ lục số 2'!P26</f>
        <v>0</v>
      </c>
      <c r="Q27" s="1769">
        <f>+'Phụ lục số 2'!Q26</f>
        <v>0</v>
      </c>
      <c r="R27" s="5218"/>
      <c r="S27" s="5227"/>
      <c r="T27" s="5228"/>
      <c r="U27" s="1584">
        <f>+'Phụ lục số 2'!U26</f>
        <v>0</v>
      </c>
      <c r="V27" s="1584">
        <f>+'Phụ lục số 2'!V26</f>
        <v>0</v>
      </c>
      <c r="W27" s="5218"/>
      <c r="X27" s="5227"/>
      <c r="Y27" s="5229"/>
      <c r="Z27" s="1765">
        <f>+'Phụ lục số 2'!Z26</f>
        <v>0</v>
      </c>
      <c r="AA27" s="5595">
        <f>+'Phụ lục số 2'!AA26</f>
        <v>0</v>
      </c>
      <c r="AB27" s="5562">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38">
        <f t="shared" si="1"/>
        <v>0</v>
      </c>
    </row>
    <row r="28" spans="1:44">
      <c r="A28" s="5587"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595">
        <f>+'Phụ lục số 2'!AA27</f>
        <v>0</v>
      </c>
      <c r="AB28" s="5562">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38">
        <f t="shared" si="1"/>
        <v>3089847.9603004237</v>
      </c>
    </row>
    <row r="29" spans="1:44">
      <c r="A29" s="5587"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595">
        <f>+'Phụ lục số 2'!AA28</f>
        <v>49277.418359657902</v>
      </c>
      <c r="AB29" s="5562">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38">
        <f t="shared" si="1"/>
        <v>317048.80330269836</v>
      </c>
    </row>
    <row r="30" spans="1:44">
      <c r="A30" s="5587"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595">
        <f>+'Phụ lục số 2'!AA29</f>
        <v>35838.122443387569</v>
      </c>
      <c r="AB30" s="5562">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38">
        <f t="shared" si="1"/>
        <v>205593.16341035609</v>
      </c>
    </row>
    <row r="31" spans="1:44">
      <c r="A31" s="5587"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595">
        <f>+'Phụ lục số 2'!AA30</f>
        <v>17919.061221693784</v>
      </c>
      <c r="AB31" s="5562">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38">
        <f t="shared" si="1"/>
        <v>125780.02552731543</v>
      </c>
    </row>
    <row r="32" spans="1:44">
      <c r="A32" s="5587"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595">
        <f>+'Phụ lục số 2'!AA31</f>
        <v>121721.62893211584</v>
      </c>
      <c r="AB32" s="5562">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38">
        <f t="shared" si="1"/>
        <v>672024.06549913296</v>
      </c>
    </row>
    <row r="33" spans="1:44">
      <c r="A33" s="5587"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595">
        <f>+'Phụ lục số 2'!AA32</f>
        <v>2217383.0336934384</v>
      </c>
      <c r="AB33" s="5562">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38">
        <f t="shared" si="1"/>
        <v>7752132.9107723385</v>
      </c>
    </row>
    <row r="34" spans="1:44">
      <c r="A34" s="5587"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595">
        <f>+'Phụ lục số 2'!AA33</f>
        <v>1284446.0451184623</v>
      </c>
      <c r="AB34" s="5562">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38">
        <f t="shared" si="1"/>
        <v>5867975.5212222207</v>
      </c>
    </row>
    <row r="35" spans="1:44">
      <c r="A35" s="5587"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595">
        <f>+'Phụ lục số 2'!AA34</f>
        <v>586849.25501047145</v>
      </c>
      <c r="AB35" s="5562">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38">
        <f t="shared" si="1"/>
        <v>1933984.4209132358</v>
      </c>
    </row>
    <row r="36" spans="1:44">
      <c r="A36" s="5587"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595">
        <f>+'Phụ lục số 2'!AA35</f>
        <v>35838.122443387569</v>
      </c>
      <c r="AB36" s="5562">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38">
        <f t="shared" si="1"/>
        <v>173389.07671754187</v>
      </c>
    </row>
    <row r="37" spans="1:44" s="31" customFormat="1">
      <c r="A37" s="5590">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594">
        <f>+'Phụ lục số 2'!AA36</f>
        <v>0</v>
      </c>
      <c r="AB37" s="5560">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38">
        <f t="shared" si="1"/>
        <v>10500</v>
      </c>
    </row>
    <row r="38" spans="1:44" s="31" customFormat="1">
      <c r="A38" s="5590">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594">
        <f>+'Phụ lục số 2'!AA37</f>
        <v>0</v>
      </c>
      <c r="AB38" s="5560">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38">
        <f t="shared" si="1"/>
        <v>6000</v>
      </c>
    </row>
    <row r="39" spans="1:44" s="31" customFormat="1">
      <c r="A39" s="5590">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594">
        <f>+'Phụ lục số 2'!AA38</f>
        <v>220053.71002598506</v>
      </c>
      <c r="AB39" s="5560">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38">
        <f t="shared" si="1"/>
        <v>1154109.3934586742</v>
      </c>
    </row>
    <row r="40" spans="1:44" s="31" customFormat="1">
      <c r="A40" s="5590">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594">
        <f>+'Phụ lục số 2'!AA39</f>
        <v>395531.35581634869</v>
      </c>
      <c r="AB40" s="5560">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38">
        <f t="shared" si="1"/>
        <v>1935640.6787028355</v>
      </c>
    </row>
    <row r="41" spans="1:44" s="31" customFormat="1">
      <c r="A41" s="5593"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594">
        <f t="shared" ref="AA41" si="48">SUM(AA42,AA45,AA48)</f>
        <v>254385</v>
      </c>
      <c r="AB41" s="5568">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38">
        <f t="shared" si="1"/>
        <v>9110976</v>
      </c>
    </row>
    <row r="42" spans="1:44">
      <c r="A42" s="4959">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595">
        <f t="shared" ref="AA42" si="56">SUM(AA43:AA44)</f>
        <v>0</v>
      </c>
      <c r="AB42" s="5569">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38">
        <f t="shared" si="1"/>
        <v>7591482</v>
      </c>
    </row>
    <row r="43" spans="1:44" s="4954" customFormat="1" hidden="1">
      <c r="A43" s="5596" t="s">
        <v>99</v>
      </c>
      <c r="B43" s="5231" t="s">
        <v>100</v>
      </c>
      <c r="C43" s="4941">
        <f>+'Phụ lục số 2'!C42</f>
        <v>1681570</v>
      </c>
      <c r="D43" s="4941">
        <f>+'Phụ lục số 2'!D42</f>
        <v>1681570</v>
      </c>
      <c r="E43" s="4942">
        <f t="shared" si="2"/>
        <v>8.8338802361891116</v>
      </c>
      <c r="F43" s="4941">
        <f>+'Phụ lục số 2'!F42</f>
        <v>1681570</v>
      </c>
      <c r="G43" s="4941">
        <f>+'Phụ lục số 2'!G42</f>
        <v>0</v>
      </c>
      <c r="H43" s="4941">
        <f>SUM(K43:L43)</f>
        <v>1681570</v>
      </c>
      <c r="I43" s="5250"/>
      <c r="J43" s="4944">
        <f t="shared" si="3"/>
        <v>1</v>
      </c>
      <c r="K43" s="196">
        <f>+'Phụ lục số 2'!K42</f>
        <v>1681570</v>
      </c>
      <c r="L43" s="196">
        <f>+'Phụ lục số 2'!L42</f>
        <v>0</v>
      </c>
      <c r="M43" s="4941">
        <f>SUM(P43:Q43)</f>
        <v>2399255</v>
      </c>
      <c r="N43" s="5250"/>
      <c r="O43" s="5252"/>
      <c r="P43" s="4955">
        <f>+'Phụ lục số 2'!P42</f>
        <v>2399255</v>
      </c>
      <c r="Q43" s="4955">
        <f>+'Phụ lục số 2'!Q42</f>
        <v>0</v>
      </c>
      <c r="R43" s="4941">
        <f>SUM(U43:V43)</f>
        <v>2399255</v>
      </c>
      <c r="S43" s="5250"/>
      <c r="T43" s="5250"/>
      <c r="U43" s="1622">
        <f>+'Phụ lục số 2'!U42</f>
        <v>2399255</v>
      </c>
      <c r="V43" s="1622">
        <f>+'Phụ lục số 2'!V42</f>
        <v>0</v>
      </c>
      <c r="W43" s="4941">
        <f>SUM(Z43:AA43)</f>
        <v>2399255</v>
      </c>
      <c r="X43" s="5250"/>
      <c r="Y43" s="5253"/>
      <c r="Z43" s="4941">
        <f>+'Phụ lục số 2'!Z42</f>
        <v>2399255</v>
      </c>
      <c r="AA43" s="5815">
        <f>+'Phụ lục số 2'!AA42</f>
        <v>0</v>
      </c>
      <c r="AB43" s="5570">
        <f>SUM(AE43:AF43)</f>
        <v>2399255</v>
      </c>
      <c r="AC43" s="5250"/>
      <c r="AD43" s="5250"/>
      <c r="AE43" s="1622">
        <f>Z43</f>
        <v>2399255</v>
      </c>
      <c r="AF43" s="1622"/>
      <c r="AG43" s="4941">
        <f>SUM(AJ43:AK43)</f>
        <v>2399255</v>
      </c>
      <c r="AH43" s="5250"/>
      <c r="AI43" s="5250"/>
      <c r="AJ43" s="1622">
        <f>AE43</f>
        <v>2399255</v>
      </c>
      <c r="AK43" s="1622"/>
      <c r="AL43" s="4941">
        <f>SUM(AO43:AP43)</f>
        <v>2399255</v>
      </c>
      <c r="AM43" s="5250"/>
      <c r="AN43" s="5250"/>
      <c r="AO43" s="1622">
        <f>AJ43</f>
        <v>2399255</v>
      </c>
      <c r="AP43" s="1622"/>
      <c r="AR43" s="5138">
        <f t="shared" si="1"/>
        <v>7197765</v>
      </c>
    </row>
    <row r="44" spans="1:44" s="4954" customFormat="1" hidden="1">
      <c r="A44" s="5596" t="s">
        <v>101</v>
      </c>
      <c r="B44" s="5231" t="s">
        <v>102</v>
      </c>
      <c r="C44" s="4941">
        <f>+'Phụ lục số 2'!C43</f>
        <v>132921</v>
      </c>
      <c r="D44" s="4941">
        <f>+'Phụ lục số 2'!D43</f>
        <v>132921</v>
      </c>
      <c r="E44" s="4942">
        <f t="shared" si="2"/>
        <v>0.69828088921334996</v>
      </c>
      <c r="F44" s="4941">
        <f>+'Phụ lục số 2'!F43</f>
        <v>132921</v>
      </c>
      <c r="G44" s="4941">
        <f>+'Phụ lục số 2'!G43</f>
        <v>0</v>
      </c>
      <c r="H44" s="4941">
        <f>SUM(K44:L44)</f>
        <v>132921</v>
      </c>
      <c r="I44" s="5250"/>
      <c r="J44" s="4944">
        <f t="shared" si="3"/>
        <v>1</v>
      </c>
      <c r="K44" s="196">
        <f>+'Phụ lục số 2'!K43</f>
        <v>132921</v>
      </c>
      <c r="L44" s="196">
        <f>+'Phụ lục số 2'!L43</f>
        <v>0</v>
      </c>
      <c r="M44" s="4941">
        <f>SUM(P44:Q44)</f>
        <v>131239</v>
      </c>
      <c r="N44" s="5250"/>
      <c r="O44" s="5252"/>
      <c r="P44" s="4955">
        <f>+'Phụ lục số 2'!P43</f>
        <v>131239</v>
      </c>
      <c r="Q44" s="4955">
        <f>+'Phụ lục số 2'!Q43</f>
        <v>0</v>
      </c>
      <c r="R44" s="4941">
        <f>SUM(U44:V44)</f>
        <v>131239</v>
      </c>
      <c r="S44" s="5250"/>
      <c r="T44" s="5250"/>
      <c r="U44" s="1622">
        <f>+'Phụ lục số 2'!U43</f>
        <v>131239</v>
      </c>
      <c r="V44" s="1622">
        <f>+'Phụ lục số 2'!V43</f>
        <v>0</v>
      </c>
      <c r="W44" s="4941">
        <f>SUM(Z44:AA44)</f>
        <v>131239</v>
      </c>
      <c r="X44" s="5250"/>
      <c r="Y44" s="5253"/>
      <c r="Z44" s="4941">
        <f>+'Phụ lục số 2'!Z43</f>
        <v>131239</v>
      </c>
      <c r="AA44" s="5815">
        <f>+'Phụ lục số 2'!AA43</f>
        <v>0</v>
      </c>
      <c r="AB44" s="5570">
        <f>SUM(AE44:AF44)</f>
        <v>131239</v>
      </c>
      <c r="AC44" s="5250"/>
      <c r="AD44" s="5250"/>
      <c r="AE44" s="1622">
        <f>Z44</f>
        <v>131239</v>
      </c>
      <c r="AF44" s="1622"/>
      <c r="AG44" s="4941">
        <f>SUM(AJ44:AK44)</f>
        <v>131239</v>
      </c>
      <c r="AH44" s="5250"/>
      <c r="AI44" s="5250"/>
      <c r="AJ44" s="1622">
        <f>AE44</f>
        <v>131239</v>
      </c>
      <c r="AK44" s="1622"/>
      <c r="AL44" s="4941">
        <f>SUM(AO44:AP44)</f>
        <v>131239</v>
      </c>
      <c r="AM44" s="5250"/>
      <c r="AN44" s="5250"/>
      <c r="AO44" s="1622">
        <f>AJ44</f>
        <v>131239</v>
      </c>
      <c r="AP44" s="1622"/>
      <c r="AR44" s="5138">
        <f t="shared" si="1"/>
        <v>393717</v>
      </c>
    </row>
    <row r="45" spans="1:44">
      <c r="A45" s="4959">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595">
        <f t="shared" ref="AA45" si="66">SUM(AA46:AA47)</f>
        <v>96175</v>
      </c>
      <c r="AB45" s="5569">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38">
        <f t="shared" si="1"/>
        <v>665736</v>
      </c>
    </row>
    <row r="46" spans="1:44" s="4954" customFormat="1" hidden="1">
      <c r="A46" s="5596" t="s">
        <v>99</v>
      </c>
      <c r="B46" s="5231" t="s">
        <v>103</v>
      </c>
      <c r="C46" s="4941">
        <f>+'Phụ lục số 2'!C45</f>
        <v>72469</v>
      </c>
      <c r="D46" s="4941">
        <f>+'Phụ lục số 2'!D45</f>
        <v>72469</v>
      </c>
      <c r="E46" s="4942">
        <f t="shared" si="2"/>
        <v>0.38070521407755181</v>
      </c>
      <c r="F46" s="4941">
        <f>+'Phụ lục số 2'!F45</f>
        <v>72469</v>
      </c>
      <c r="G46" s="4941">
        <f>+'Phụ lục số 2'!G45</f>
        <v>0</v>
      </c>
      <c r="H46" s="4941">
        <f>SUM(K46:L46)</f>
        <v>72469</v>
      </c>
      <c r="I46" s="5250"/>
      <c r="J46" s="4944">
        <f t="shared" si="3"/>
        <v>1</v>
      </c>
      <c r="K46" s="196">
        <f>+'Phụ lục số 2'!K45</f>
        <v>72469</v>
      </c>
      <c r="L46" s="196">
        <f>+'Phụ lục số 2'!L45</f>
        <v>0</v>
      </c>
      <c r="M46" s="4941">
        <f>+'Phụ lục số 6'!E28-'Phụ lục số 6'!E32</f>
        <v>186007</v>
      </c>
      <c r="N46" s="5250"/>
      <c r="O46" s="5252"/>
      <c r="P46" s="4955">
        <f>+'Phụ lục số 2'!P45</f>
        <v>89832</v>
      </c>
      <c r="Q46" s="4955">
        <f>+'Phụ lục số 2'!Q45</f>
        <v>96175</v>
      </c>
      <c r="R46" s="4941">
        <f>SUM(U46:V46)</f>
        <v>186007</v>
      </c>
      <c r="S46" s="5250"/>
      <c r="T46" s="5250"/>
      <c r="U46" s="1622">
        <f>+'Phụ lục số 2'!U45</f>
        <v>89832</v>
      </c>
      <c r="V46" s="1622">
        <f>+'Phụ lục số 2'!V45</f>
        <v>96175</v>
      </c>
      <c r="W46" s="4941">
        <f>SUM(Z46:AA46)</f>
        <v>186007</v>
      </c>
      <c r="X46" s="5250"/>
      <c r="Y46" s="5253"/>
      <c r="Z46" s="4941">
        <f>+'Phụ lục số 2'!Z45</f>
        <v>89832</v>
      </c>
      <c r="AA46" s="5815">
        <f>+'Phụ lục số 2'!AA45</f>
        <v>96175</v>
      </c>
      <c r="AB46" s="5570">
        <f>SUM(AE46:AF46)</f>
        <v>89832</v>
      </c>
      <c r="AC46" s="5250"/>
      <c r="AD46" s="5250"/>
      <c r="AE46" s="1622">
        <f>Z46</f>
        <v>89832</v>
      </c>
      <c r="AF46" s="1622"/>
      <c r="AG46" s="4941">
        <f>SUM(AJ46:AK46)</f>
        <v>89832</v>
      </c>
      <c r="AH46" s="5250"/>
      <c r="AI46" s="5250"/>
      <c r="AJ46" s="1622">
        <f>AE46</f>
        <v>89832</v>
      </c>
      <c r="AK46" s="1622"/>
      <c r="AL46" s="4941">
        <f>SUM(AO46:AP46)</f>
        <v>89832</v>
      </c>
      <c r="AM46" s="5250"/>
      <c r="AN46" s="5250"/>
      <c r="AO46" s="1622">
        <f>AJ46</f>
        <v>89832</v>
      </c>
      <c r="AP46" s="1622"/>
      <c r="AR46" s="5138">
        <f t="shared" si="1"/>
        <v>558021</v>
      </c>
    </row>
    <row r="47" spans="1:44" s="4954" customFormat="1" hidden="1">
      <c r="A47" s="5596" t="s">
        <v>101</v>
      </c>
      <c r="B47" s="5231" t="s">
        <v>102</v>
      </c>
      <c r="C47" s="4941">
        <f>+'Phụ lục số 2'!C46</f>
        <v>102016</v>
      </c>
      <c r="D47" s="4941">
        <f>+'Phụ lục số 2'!D46</f>
        <v>102016</v>
      </c>
      <c r="E47" s="4942">
        <f t="shared" si="2"/>
        <v>0.53592602518781163</v>
      </c>
      <c r="F47" s="4941">
        <f>+'Phụ lục số 2'!F46</f>
        <v>102016</v>
      </c>
      <c r="G47" s="4941">
        <f>+'Phụ lục số 2'!G46</f>
        <v>0</v>
      </c>
      <c r="H47" s="4941">
        <f>SUM(K47:L47)</f>
        <v>102016</v>
      </c>
      <c r="I47" s="5250"/>
      <c r="J47" s="4944">
        <f t="shared" si="3"/>
        <v>1</v>
      </c>
      <c r="K47" s="196">
        <f>+'Phụ lục số 2'!K46</f>
        <v>102016</v>
      </c>
      <c r="L47" s="196">
        <f>+'Phụ lục số 2'!L46</f>
        <v>0</v>
      </c>
      <c r="M47" s="4941">
        <f>SUM(P47:Q47)</f>
        <v>35905</v>
      </c>
      <c r="N47" s="5250"/>
      <c r="O47" s="5252"/>
      <c r="P47" s="4955">
        <f>+'Phụ lục số 2'!P46</f>
        <v>35905</v>
      </c>
      <c r="Q47" s="4955">
        <f>+'Phụ lục số 2'!Q46</f>
        <v>0</v>
      </c>
      <c r="R47" s="4941">
        <f>SUM(U47:V47)</f>
        <v>35905</v>
      </c>
      <c r="S47" s="5250"/>
      <c r="T47" s="5250"/>
      <c r="U47" s="1622">
        <f>+'Phụ lục số 2'!U46</f>
        <v>35905</v>
      </c>
      <c r="V47" s="1622">
        <f>+'Phụ lục số 2'!V46</f>
        <v>0</v>
      </c>
      <c r="W47" s="4941">
        <f>SUM(Z47:AA47)</f>
        <v>35905</v>
      </c>
      <c r="X47" s="5250"/>
      <c r="Y47" s="5253"/>
      <c r="Z47" s="4941">
        <f>+'Phụ lục số 2'!Z46</f>
        <v>35905</v>
      </c>
      <c r="AA47" s="5815">
        <f>+'Phụ lục số 2'!AA46</f>
        <v>0</v>
      </c>
      <c r="AB47" s="5570">
        <f>SUM(AE47:AF47)</f>
        <v>35905</v>
      </c>
      <c r="AC47" s="5250"/>
      <c r="AD47" s="5250"/>
      <c r="AE47" s="1622">
        <f>Z47</f>
        <v>35905</v>
      </c>
      <c r="AF47" s="1622"/>
      <c r="AG47" s="4941">
        <f>SUM(AJ47:AK47)</f>
        <v>35905</v>
      </c>
      <c r="AH47" s="5250"/>
      <c r="AI47" s="5250"/>
      <c r="AJ47" s="1622">
        <f>AE47</f>
        <v>35905</v>
      </c>
      <c r="AK47" s="1622"/>
      <c r="AL47" s="4941">
        <f>SUM(AO47:AP47)</f>
        <v>35905</v>
      </c>
      <c r="AM47" s="5250"/>
      <c r="AN47" s="5250"/>
      <c r="AO47" s="1622">
        <f>AJ47</f>
        <v>35905</v>
      </c>
      <c r="AP47" s="1622"/>
      <c r="AR47" s="5138">
        <f t="shared" si="1"/>
        <v>107715</v>
      </c>
    </row>
    <row r="48" spans="1:44">
      <c r="A48" s="4959">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595">
        <f>SUM(AA49:AA50)</f>
        <v>158210</v>
      </c>
      <c r="AB48" s="5569">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38">
        <f t="shared" si="1"/>
        <v>853758</v>
      </c>
    </row>
    <row r="49" spans="1:44" s="4954" customFormat="1" hidden="1">
      <c r="A49" s="5596" t="s">
        <v>99</v>
      </c>
      <c r="B49" s="5231" t="s">
        <v>104</v>
      </c>
      <c r="C49" s="4941">
        <f>SUM(F49:G49)</f>
        <v>0</v>
      </c>
      <c r="D49" s="1620">
        <f t="shared" ref="D49:D54" si="72">SUM(F49:G49)</f>
        <v>0</v>
      </c>
      <c r="E49" s="5249"/>
      <c r="F49" s="4941">
        <f>+'Phụ lục số 2'!F48</f>
        <v>0</v>
      </c>
      <c r="G49" s="4941">
        <f>+'Phụ lục số 2'!G48</f>
        <v>0</v>
      </c>
      <c r="H49" s="4941">
        <f>SUM(K49:L49)</f>
        <v>0</v>
      </c>
      <c r="I49" s="5250"/>
      <c r="J49" s="4944" t="e">
        <f t="shared" si="3"/>
        <v>#DIV/0!</v>
      </c>
      <c r="K49" s="196">
        <f>+'Phụ lục số 2'!K48</f>
        <v>0</v>
      </c>
      <c r="L49" s="196">
        <f>+'Phụ lục số 2'!L48</f>
        <v>0</v>
      </c>
      <c r="M49" s="4941">
        <f>SUM(P49:Q49)</f>
        <v>0</v>
      </c>
      <c r="N49" s="5250"/>
      <c r="O49" s="5252"/>
      <c r="P49" s="4955">
        <f>+'Phụ lục số 2'!P48</f>
        <v>0</v>
      </c>
      <c r="Q49" s="4955">
        <f>+'Phụ lục số 2'!Q48</f>
        <v>0</v>
      </c>
      <c r="R49" s="4941">
        <f>SUM(U49:V49)</f>
        <v>0</v>
      </c>
      <c r="S49" s="5250"/>
      <c r="T49" s="5250"/>
      <c r="U49" s="1622">
        <f>+'Phụ lục số 2'!U48</f>
        <v>0</v>
      </c>
      <c r="V49" s="1622">
        <f>+'Phụ lục số 2'!V48</f>
        <v>0</v>
      </c>
      <c r="W49" s="4941">
        <f>SUM(Z49:AA49)</f>
        <v>0</v>
      </c>
      <c r="X49" s="5250"/>
      <c r="Y49" s="5253"/>
      <c r="Z49" s="4941">
        <f>+'Phụ lục số 2'!Z48</f>
        <v>0</v>
      </c>
      <c r="AA49" s="5815">
        <f>+'Phụ lục số 2'!AA48</f>
        <v>0</v>
      </c>
      <c r="AB49" s="5570">
        <f>SUM(AE49:AF49)</f>
        <v>0</v>
      </c>
      <c r="AC49" s="5250"/>
      <c r="AD49" s="5250"/>
      <c r="AE49" s="5251">
        <f>Z49</f>
        <v>0</v>
      </c>
      <c r="AF49" s="5251"/>
      <c r="AG49" s="4941">
        <f>SUM(AJ49:AK49)</f>
        <v>0</v>
      </c>
      <c r="AH49" s="5250"/>
      <c r="AI49" s="5250"/>
      <c r="AJ49" s="5251">
        <f>AE49</f>
        <v>0</v>
      </c>
      <c r="AK49" s="5251"/>
      <c r="AL49" s="4941">
        <f>SUM(AO49:AP49)</f>
        <v>0</v>
      </c>
      <c r="AM49" s="5250"/>
      <c r="AN49" s="5250"/>
      <c r="AO49" s="5251">
        <f>AJ49</f>
        <v>0</v>
      </c>
      <c r="AP49" s="5251"/>
      <c r="AR49" s="5138">
        <f t="shared" si="1"/>
        <v>0</v>
      </c>
    </row>
    <row r="50" spans="1:44" s="4954" customFormat="1" hidden="1">
      <c r="A50" s="5596" t="s">
        <v>101</v>
      </c>
      <c r="B50" s="5231" t="s">
        <v>105</v>
      </c>
      <c r="C50" s="4941">
        <f t="shared" ref="C50" si="73">SUM(F50:G50)</f>
        <v>0</v>
      </c>
      <c r="D50" s="1620">
        <f t="shared" si="72"/>
        <v>0</v>
      </c>
      <c r="E50" s="5249"/>
      <c r="F50" s="4941">
        <f>+'Phụ lục số 2'!F49</f>
        <v>0</v>
      </c>
      <c r="G50" s="4941">
        <f>+'Phụ lục số 2'!G49</f>
        <v>0</v>
      </c>
      <c r="H50" s="4941">
        <f>SUM(K50:L50)</f>
        <v>138559</v>
      </c>
      <c r="I50" s="5250"/>
      <c r="J50" s="4944" t="e">
        <f t="shared" si="3"/>
        <v>#DIV/0!</v>
      </c>
      <c r="K50" s="196">
        <f>+'Phụ lục số 2'!K49</f>
        <v>138559</v>
      </c>
      <c r="L50" s="196">
        <f>+'Phụ lục số 2'!L49</f>
        <v>0</v>
      </c>
      <c r="M50" s="4941">
        <f>+'Phụ lục số 6'!E32</f>
        <v>284586</v>
      </c>
      <c r="N50" s="5250"/>
      <c r="O50" s="5252"/>
      <c r="P50" s="4955">
        <f>+'Phụ lục số 2'!P49</f>
        <v>126376</v>
      </c>
      <c r="Q50" s="4955">
        <f>+'Phụ lục số 2'!Q49</f>
        <v>158210</v>
      </c>
      <c r="R50" s="4941">
        <f>SUM(U50:V50)</f>
        <v>284586</v>
      </c>
      <c r="S50" s="5250"/>
      <c r="T50" s="5250"/>
      <c r="U50" s="1622">
        <f>+'Phụ lục số 2'!U49</f>
        <v>126376</v>
      </c>
      <c r="V50" s="1622">
        <f>+'Phụ lục số 2'!V49</f>
        <v>158210</v>
      </c>
      <c r="W50" s="4941">
        <f>SUM(Z50:AA50)</f>
        <v>284586</v>
      </c>
      <c r="X50" s="5250"/>
      <c r="Y50" s="5253"/>
      <c r="Z50" s="4941">
        <f>+'Phụ lục số 2'!Z49</f>
        <v>126376</v>
      </c>
      <c r="AA50" s="5815">
        <f>+'Phụ lục số 2'!AA49</f>
        <v>158210</v>
      </c>
      <c r="AB50" s="5570">
        <f>SUM(AE50:AF50)</f>
        <v>126376</v>
      </c>
      <c r="AC50" s="5250"/>
      <c r="AD50" s="5250"/>
      <c r="AE50" s="5251">
        <f>Z50</f>
        <v>126376</v>
      </c>
      <c r="AF50" s="5251"/>
      <c r="AG50" s="4941">
        <f>SUM(AJ50:AK50)</f>
        <v>126376</v>
      </c>
      <c r="AH50" s="5250"/>
      <c r="AI50" s="5250"/>
      <c r="AJ50" s="5251">
        <f>AE50</f>
        <v>126376</v>
      </c>
      <c r="AK50" s="5251"/>
      <c r="AL50" s="4941">
        <f>SUM(AO50:AP50)</f>
        <v>126376</v>
      </c>
      <c r="AM50" s="5250"/>
      <c r="AN50" s="5250"/>
      <c r="AO50" s="5251">
        <f>AJ50</f>
        <v>126376</v>
      </c>
      <c r="AP50" s="5251"/>
      <c r="AR50" s="5138">
        <f t="shared" si="1"/>
        <v>853758</v>
      </c>
    </row>
    <row r="51" spans="1:44" s="31" customFormat="1">
      <c r="A51" s="5593" t="s">
        <v>182</v>
      </c>
      <c r="B51" s="1781" t="s">
        <v>181</v>
      </c>
      <c r="C51" s="1570"/>
      <c r="D51" s="195">
        <f t="shared" si="72"/>
        <v>0</v>
      </c>
      <c r="E51" s="1789"/>
      <c r="F51" s="1570"/>
      <c r="G51" s="1570"/>
      <c r="H51" s="1759"/>
      <c r="I51" s="1759"/>
      <c r="J51" s="2197" t="e">
        <f t="shared" si="3"/>
        <v>#DIV/0!</v>
      </c>
      <c r="K51" s="1759"/>
      <c r="L51" s="1759"/>
      <c r="M51" s="1760">
        <f>SUM(P51:Q51)</f>
        <v>0</v>
      </c>
      <c r="N51" s="1759"/>
      <c r="O51" s="1790"/>
      <c r="P51" s="4955">
        <f>+'Phụ lục số 2'!P50</f>
        <v>0</v>
      </c>
      <c r="Q51" s="4955">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594">
        <f>+'Phụ lục số 2'!AA50</f>
        <v>0</v>
      </c>
      <c r="AB51" s="5568">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38">
        <f t="shared" si="1"/>
        <v>0</v>
      </c>
    </row>
    <row r="52" spans="1:44" s="31" customFormat="1">
      <c r="A52" s="5590" t="s">
        <v>37</v>
      </c>
      <c r="B52" s="5172" t="s">
        <v>3230</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594">
        <f>+'Phụ lục số 2'!AA51</f>
        <v>0</v>
      </c>
      <c r="AB52" s="5808"/>
      <c r="AC52" s="1759"/>
      <c r="AD52" s="1759"/>
      <c r="AE52" s="38"/>
      <c r="AF52" s="38"/>
      <c r="AG52" s="1759"/>
      <c r="AH52" s="1759"/>
      <c r="AI52" s="1759"/>
      <c r="AJ52" s="38"/>
      <c r="AK52" s="38"/>
      <c r="AL52" s="38"/>
      <c r="AM52" s="1759"/>
      <c r="AN52" s="1759"/>
      <c r="AO52" s="38"/>
      <c r="AP52" s="38"/>
      <c r="AR52" s="5138">
        <f t="shared" si="1"/>
        <v>5553.7960000000003</v>
      </c>
    </row>
    <row r="53" spans="1:44" s="31" customFormat="1">
      <c r="A53" s="5599" t="s">
        <v>44</v>
      </c>
      <c r="B53" s="5172" t="s">
        <v>3174</v>
      </c>
      <c r="C53" s="5173"/>
      <c r="D53" s="5174"/>
      <c r="E53" s="5175"/>
      <c r="F53" s="5173"/>
      <c r="G53" s="5173"/>
      <c r="H53" s="5176"/>
      <c r="I53" s="5176"/>
      <c r="J53" s="5177"/>
      <c r="K53" s="5176"/>
      <c r="L53" s="5176"/>
      <c r="M53" s="5178">
        <f>+P53+Q53</f>
        <v>186700</v>
      </c>
      <c r="N53" s="5178"/>
      <c r="O53" s="5178"/>
      <c r="P53" s="1751">
        <f>+'Phụ lục số 2'!P52</f>
        <v>186700</v>
      </c>
      <c r="Q53" s="1751">
        <f>+'Phụ lục số 2'!Q52</f>
        <v>0</v>
      </c>
      <c r="R53" s="5176"/>
      <c r="S53" s="5176"/>
      <c r="T53" s="5176"/>
      <c r="U53" s="1570">
        <f>+'Phụ lục số 2'!U52</f>
        <v>0</v>
      </c>
      <c r="V53" s="1570">
        <f>+'Phụ lục số 2'!V52</f>
        <v>0</v>
      </c>
      <c r="W53" s="5173"/>
      <c r="X53" s="5176"/>
      <c r="Y53" s="5179"/>
      <c r="Z53" s="1760">
        <f>+'Phụ lục số 2'!Z52</f>
        <v>0</v>
      </c>
      <c r="AA53" s="5594">
        <f>+'Phụ lục số 2'!AA52</f>
        <v>0</v>
      </c>
      <c r="AB53" s="5809"/>
      <c r="AC53" s="5176"/>
      <c r="AD53" s="5176"/>
      <c r="AE53" s="5178"/>
      <c r="AF53" s="5178"/>
      <c r="AG53" s="5176"/>
      <c r="AH53" s="5176"/>
      <c r="AI53" s="5176"/>
      <c r="AJ53" s="5178"/>
      <c r="AK53" s="5178"/>
      <c r="AL53" s="5178"/>
      <c r="AM53" s="5176"/>
      <c r="AN53" s="5176"/>
      <c r="AO53" s="5178"/>
      <c r="AP53" s="5178"/>
      <c r="AR53" s="5138">
        <f t="shared" si="1"/>
        <v>186700</v>
      </c>
    </row>
    <row r="54" spans="1:44" s="31" customFormat="1" ht="14.4" thickBot="1">
      <c r="A54" s="5601" t="s">
        <v>46</v>
      </c>
      <c r="B54" s="5602" t="s">
        <v>184</v>
      </c>
      <c r="C54" s="5603"/>
      <c r="D54" s="4910">
        <f t="shared" si="72"/>
        <v>0</v>
      </c>
      <c r="E54" s="5604"/>
      <c r="F54" s="5603"/>
      <c r="G54" s="5603"/>
      <c r="H54" s="5605"/>
      <c r="I54" s="5605"/>
      <c r="J54" s="5606" t="e">
        <f t="shared" si="3"/>
        <v>#DIV/0!</v>
      </c>
      <c r="K54" s="5605"/>
      <c r="L54" s="5605"/>
      <c r="M54" s="5605"/>
      <c r="N54" s="5605"/>
      <c r="O54" s="5607"/>
      <c r="P54" s="5605"/>
      <c r="Q54" s="5605"/>
      <c r="R54" s="5605"/>
      <c r="S54" s="5605"/>
      <c r="T54" s="5605"/>
      <c r="U54" s="5605"/>
      <c r="V54" s="5605"/>
      <c r="W54" s="5603"/>
      <c r="X54" s="5605"/>
      <c r="Y54" s="5816"/>
      <c r="Z54" s="5603"/>
      <c r="AA54" s="5817"/>
      <c r="AB54" s="5810"/>
      <c r="AC54" s="1794"/>
      <c r="AD54" s="1794"/>
      <c r="AE54" s="677"/>
      <c r="AF54" s="677"/>
      <c r="AG54" s="1794"/>
      <c r="AH54" s="1794"/>
      <c r="AI54" s="1794"/>
      <c r="AJ54" s="677"/>
      <c r="AK54" s="677"/>
      <c r="AL54" s="677"/>
      <c r="AM54" s="1794"/>
      <c r="AN54" s="1794"/>
      <c r="AO54" s="677"/>
      <c r="AP54" s="677"/>
      <c r="AR54" s="5138">
        <f t="shared" si="1"/>
        <v>0</v>
      </c>
    </row>
    <row r="55" spans="1:44" ht="14.4" thickTop="1">
      <c r="P55" s="32"/>
      <c r="Q55" s="32"/>
    </row>
    <row r="56" spans="1:44">
      <c r="H56" s="32"/>
      <c r="N56" s="5114"/>
      <c r="O56" s="32"/>
      <c r="Q56" s="32"/>
    </row>
    <row r="57" spans="1:44">
      <c r="C57" s="1805">
        <f>1729491+85000</f>
        <v>1814491</v>
      </c>
      <c r="H57" s="1733">
        <f>-'Phụ lục số I'!N93</f>
        <v>285715.06482617627</v>
      </c>
      <c r="I57" s="32">
        <f>925057-G40</f>
        <v>286797</v>
      </c>
      <c r="K57" s="1797"/>
      <c r="L57" s="1797"/>
      <c r="M57" s="32"/>
      <c r="P57" s="1734" t="s">
        <v>117</v>
      </c>
      <c r="Q57" s="5239">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3218</v>
      </c>
      <c r="M62" s="1733">
        <v>17358348</v>
      </c>
    </row>
    <row r="63" spans="1:44">
      <c r="C63" s="32">
        <f>+C62+C61</f>
        <v>6546241</v>
      </c>
      <c r="H63" s="32">
        <v>657</v>
      </c>
      <c r="L63" s="30" t="s">
        <v>2372</v>
      </c>
      <c r="M63" s="1733">
        <f>+M10</f>
        <v>18330348.400000002</v>
      </c>
      <c r="N63" s="1733">
        <f>+'Phụ lục số 1'!T92</f>
        <v>21559594.196000002</v>
      </c>
      <c r="O63" s="1733">
        <f>+N63-M63</f>
        <v>3229245.7960000001</v>
      </c>
      <c r="P63" s="32">
        <f>+P10</f>
        <v>6833081.4930000007</v>
      </c>
    </row>
    <row r="64" spans="1:44">
      <c r="H64" s="32">
        <f>+H63-172</f>
        <v>485</v>
      </c>
      <c r="K64" s="32"/>
      <c r="M64" s="5140">
        <f>+M63-M62</f>
        <v>972000.40000000224</v>
      </c>
      <c r="N64" s="32"/>
      <c r="O64" s="32"/>
      <c r="P64" s="32">
        <f>+'Phụ lục số 7'!C36</f>
        <v>7078351.9069999997</v>
      </c>
      <c r="Q64" s="32"/>
    </row>
    <row r="65" spans="1:41">
      <c r="K65" s="32"/>
      <c r="L65" s="30" t="s">
        <v>3218</v>
      </c>
      <c r="M65" s="5240">
        <f>+M11</f>
        <v>4666890</v>
      </c>
      <c r="P65" s="5240">
        <f>+P64+P63</f>
        <v>13911433.4</v>
      </c>
      <c r="Q65" s="5155"/>
    </row>
    <row r="66" spans="1:41">
      <c r="A66" s="1799"/>
      <c r="B66" s="31"/>
      <c r="K66" s="32"/>
      <c r="L66" s="30" t="s">
        <v>2372</v>
      </c>
      <c r="M66" s="5240">
        <f>+M11</f>
        <v>4666890</v>
      </c>
      <c r="N66" s="5155">
        <f>+M66/M10</f>
        <v>0.2545990887985522</v>
      </c>
      <c r="O66" s="5155">
        <f>+M66/M9</f>
        <v>0.21835554685305192</v>
      </c>
      <c r="P66" s="5240">
        <f>+P65+P52</f>
        <v>13916987.196</v>
      </c>
      <c r="Q66" s="5155"/>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40">
        <f>+M66-M65</f>
        <v>0</v>
      </c>
      <c r="N67" s="1733"/>
      <c r="O67" s="1733"/>
      <c r="P67" s="5240"/>
      <c r="Q67" s="5155"/>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3218</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03">
        <v>1153930</v>
      </c>
      <c r="J69" s="1807"/>
      <c r="L69" s="30" t="s">
        <v>2372</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3218</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2372</v>
      </c>
      <c r="M72" s="1733">
        <f>+M24</f>
        <v>5859513.0000000009</v>
      </c>
      <c r="N72" s="5155">
        <f>+M72/M10</f>
        <v>0.31966184559809024</v>
      </c>
      <c r="O72" s="5155">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3218</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2372</v>
      </c>
      <c r="M75" s="1733">
        <f>+M25</f>
        <v>31307</v>
      </c>
      <c r="N75" s="5155">
        <f>+M75/M10</f>
        <v>1.7079326217280188E-3</v>
      </c>
      <c r="O75" s="5114">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3218</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2372</v>
      </c>
      <c r="M78" s="1733">
        <f>+M32</f>
        <v>205900</v>
      </c>
      <c r="N78" s="5155">
        <f>+M78/M10</f>
        <v>1.1232737944031656E-2</v>
      </c>
      <c r="O78" s="5155">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3218</v>
      </c>
      <c r="M80" s="1733">
        <v>350901</v>
      </c>
      <c r="N80" s="5155">
        <f>+M80/M10</f>
        <v>1.9143171332193554E-2</v>
      </c>
      <c r="O80" s="5155">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2372</v>
      </c>
      <c r="M81" s="1733">
        <f>+M39</f>
        <v>376400.94999999995</v>
      </c>
      <c r="N81" s="5155">
        <f>+M81/M10</f>
        <v>2.0534304192494229E-2</v>
      </c>
      <c r="O81" s="5155">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05"/>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46"/>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069" t="s">
        <v>1430</v>
      </c>
      <c r="I97" s="6069"/>
      <c r="J97" s="6069"/>
      <c r="K97" s="6069"/>
      <c r="L97" s="6069"/>
      <c r="M97" s="6069" t="s">
        <v>1431</v>
      </c>
      <c r="N97" s="6069"/>
      <c r="O97" s="6069"/>
      <c r="P97" s="6069"/>
      <c r="Q97" s="6069"/>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02"/>
      <c r="O119" s="1807"/>
      <c r="P119" s="4802"/>
      <c r="Q119" s="4803"/>
    </row>
    <row r="120" spans="2:18">
      <c r="J120" s="1806"/>
      <c r="K120" s="1808"/>
      <c r="O120" s="1807"/>
      <c r="Q120" s="1733"/>
    </row>
    <row r="121" spans="2:18">
      <c r="J121" s="1807"/>
      <c r="K121" s="1806"/>
      <c r="N121" s="32"/>
      <c r="Q121" s="1733"/>
    </row>
    <row r="122" spans="2:18">
      <c r="K122" s="1809"/>
      <c r="N122" s="4803"/>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058" t="s">
        <v>1415</v>
      </c>
      <c r="B1" s="6058"/>
      <c r="C1" s="6058"/>
      <c r="D1" s="6058"/>
      <c r="E1" s="6058"/>
      <c r="F1" s="6058"/>
      <c r="G1" s="6058"/>
      <c r="H1" s="6058"/>
      <c r="I1" s="4"/>
      <c r="J1" s="4"/>
      <c r="K1" s="4"/>
      <c r="L1" s="4"/>
      <c r="M1" s="4"/>
      <c r="N1" s="4"/>
      <c r="O1" s="4"/>
      <c r="P1" s="4"/>
      <c r="Q1" s="4"/>
    </row>
    <row r="2" spans="1:18">
      <c r="A2" s="6058" t="s">
        <v>3268</v>
      </c>
      <c r="B2" s="6058"/>
      <c r="C2" s="6058"/>
      <c r="D2" s="6058"/>
      <c r="E2" s="6058"/>
      <c r="F2" s="6058"/>
      <c r="G2" s="6058"/>
      <c r="H2" s="6058"/>
      <c r="I2" s="4"/>
      <c r="J2" s="4"/>
      <c r="K2" s="4"/>
      <c r="L2" s="4"/>
      <c r="M2" s="4"/>
      <c r="N2" s="4"/>
      <c r="O2" s="4"/>
      <c r="P2" s="4"/>
      <c r="Q2" s="4"/>
    </row>
    <row r="3" spans="1:18">
      <c r="A3" s="6061" t="str">
        <f>+'Phụ lục số 1'!A3:V3</f>
        <v>(Kèm theo Báo cáo số     462/BC-UBND ngày 22 tháng 11 năm 2024 của Ủy ban nhân dân tỉnh Đồng Tháp)</v>
      </c>
      <c r="B3" s="6061"/>
      <c r="C3" s="6061"/>
      <c r="D3" s="6061"/>
      <c r="E3" s="6061"/>
      <c r="F3" s="6061"/>
      <c r="G3" s="6061"/>
      <c r="H3" s="6061"/>
      <c r="I3" s="1"/>
      <c r="J3" s="1"/>
      <c r="K3" s="1"/>
      <c r="L3" s="1"/>
      <c r="M3" s="1"/>
      <c r="N3" s="1"/>
      <c r="O3" s="1"/>
      <c r="P3" s="1"/>
      <c r="Q3" s="1"/>
    </row>
    <row r="5" spans="1:18" ht="18.600000000000001" thickBot="1">
      <c r="C5" s="5238"/>
    </row>
    <row r="6" spans="1:18" ht="52.8" thickTop="1">
      <c r="A6" s="3043" t="s">
        <v>200</v>
      </c>
      <c r="B6" s="2620" t="s">
        <v>1123</v>
      </c>
      <c r="C6" s="5375" t="s">
        <v>219</v>
      </c>
      <c r="D6" s="5375" t="s">
        <v>407</v>
      </c>
      <c r="E6" s="5375" t="s">
        <v>1455</v>
      </c>
      <c r="F6" s="5375" t="s">
        <v>1961</v>
      </c>
      <c r="G6" s="5375" t="s">
        <v>1962</v>
      </c>
      <c r="H6" s="5376" t="s">
        <v>3262</v>
      </c>
    </row>
    <row r="7" spans="1:18" s="49" customFormat="1" ht="17.399999999999999">
      <c r="A7" s="1641" t="s">
        <v>1</v>
      </c>
      <c r="B7" s="4259" t="s">
        <v>827</v>
      </c>
      <c r="C7" s="5499">
        <f>SUM(C8:C10)</f>
        <v>9674054.1620000005</v>
      </c>
      <c r="D7" s="5500">
        <f t="shared" ref="D7:G7" si="0">SUM(D8:D10)</f>
        <v>9675053.6514166668</v>
      </c>
      <c r="E7" s="5501">
        <f t="shared" si="0"/>
        <v>10100553.796</v>
      </c>
      <c r="F7" s="5501">
        <f t="shared" si="0"/>
        <v>11087000</v>
      </c>
      <c r="G7" s="5501">
        <f t="shared" si="0"/>
        <v>11812000</v>
      </c>
      <c r="H7" s="5502">
        <f>SUM(H8:H10)</f>
        <v>32999553.796</v>
      </c>
      <c r="M7" s="5513">
        <f>((E7/D7)*(F7/E7)*(G7/F7))^(1/3)</f>
        <v>1.0687841848035315</v>
      </c>
      <c r="N7" s="5513"/>
      <c r="O7" s="5513"/>
      <c r="P7" s="5514"/>
      <c r="Q7" s="5794">
        <f>+Q8+Q9+Q10</f>
        <v>25893293.252273668</v>
      </c>
      <c r="R7" s="5513">
        <f>+H8/Q7</f>
        <v>1.2321723501586053</v>
      </c>
    </row>
    <row r="8" spans="1:18">
      <c r="A8" s="4279" t="s">
        <v>3</v>
      </c>
      <c r="B8" s="518" t="s">
        <v>4</v>
      </c>
      <c r="C8" s="924">
        <f>+'Phụ lục số 1'!D11</f>
        <v>9474054.1620000005</v>
      </c>
      <c r="D8" s="5503">
        <f>+'Phụ lục số 1'!J11</f>
        <v>9265054.0820000004</v>
      </c>
      <c r="E8" s="5504">
        <f>+'Phụ lục số 1'!Q11</f>
        <v>9595000</v>
      </c>
      <c r="F8" s="5504">
        <f>+'Phụ lục số 1'!W11</f>
        <v>10800000</v>
      </c>
      <c r="G8" s="5504">
        <f>+'Phụ lục số 1'!AC11</f>
        <v>11510000</v>
      </c>
      <c r="H8" s="5505">
        <f>SUM(E8:G8)</f>
        <v>31905000</v>
      </c>
      <c r="M8" s="5513">
        <f>((E8/D8)*(F8/E8)*(G8/F8))^(1/3)</f>
        <v>1.075001627206412</v>
      </c>
      <c r="Q8" s="679">
        <f>+'Biểu số 1 (2)'!AW108</f>
        <v>24811622.641316</v>
      </c>
      <c r="R8" s="5513">
        <f t="shared" ref="R8:R9" si="1">+H9/Q8</f>
        <v>4.3890720721610967E-2</v>
      </c>
    </row>
    <row r="9" spans="1:18">
      <c r="A9" s="4279" t="s">
        <v>33</v>
      </c>
      <c r="B9" s="518" t="s">
        <v>828</v>
      </c>
      <c r="C9" s="924">
        <f>+'Phụ lục số 1'!D51</f>
        <v>200000</v>
      </c>
      <c r="D9" s="5503">
        <f>+'Phụ lục số 1'!J51</f>
        <v>409999.569416666</v>
      </c>
      <c r="E9" s="5504">
        <f>+'Phụ lục số 1'!Q51</f>
        <v>500000</v>
      </c>
      <c r="F9" s="5504">
        <f>+'Phụ lục số 1'!W51</f>
        <v>287000</v>
      </c>
      <c r="G9" s="5504">
        <f>+'Phụ lục số 1'!AC51</f>
        <v>302000</v>
      </c>
      <c r="H9" s="5505">
        <f>SUM(E9:G9)</f>
        <v>1089000</v>
      </c>
      <c r="M9" s="5513">
        <f>((E9/D9)*(F9/E9)*(G9/F9))^(1/3)</f>
        <v>0.90311110129146399</v>
      </c>
      <c r="Q9" s="679">
        <f>+'Biểu số 1 (2)'!AW109</f>
        <v>1081670.6109576658</v>
      </c>
      <c r="R9" s="5513">
        <f t="shared" si="1"/>
        <v>5.1344614004839254E-3</v>
      </c>
    </row>
    <row r="10" spans="1:18">
      <c r="A10" s="4279" t="s">
        <v>182</v>
      </c>
      <c r="B10" s="518" t="s">
        <v>3263</v>
      </c>
      <c r="C10" s="924">
        <f>+'Phụ lục số 1'!D56</f>
        <v>0</v>
      </c>
      <c r="D10" s="5503">
        <f>+'Phụ lục số 1'!J56</f>
        <v>0</v>
      </c>
      <c r="E10" s="5504">
        <f>+'Phụ lục số 1'!Q56</f>
        <v>5553.7960000000003</v>
      </c>
      <c r="F10" s="5504">
        <f>+'Phụ lục số 1'!W56</f>
        <v>0</v>
      </c>
      <c r="G10" s="5504">
        <f>+'Phụ lục số 1'!AC56</f>
        <v>0</v>
      </c>
      <c r="H10" s="5505">
        <f>SUM(E10:G10)</f>
        <v>5553.7960000000003</v>
      </c>
      <c r="M10" s="5513" t="e">
        <f t="shared" ref="M10" si="2">((E10/D10)*(F10/E10)*(G10/F10))^(1/3)</f>
        <v>#DIV/0!</v>
      </c>
    </row>
    <row r="11" spans="1:18">
      <c r="A11" s="4265" t="s">
        <v>37</v>
      </c>
      <c r="B11" s="4266" t="s">
        <v>2419</v>
      </c>
      <c r="C11" s="5506">
        <f>+C12+C19</f>
        <v>19035463.162</v>
      </c>
      <c r="D11" s="5506">
        <f t="shared" ref="D11:G11" si="3">+D12+D19</f>
        <v>19350818.14563527</v>
      </c>
      <c r="E11" s="5506">
        <f t="shared" si="3"/>
        <v>21559594.195999999</v>
      </c>
      <c r="F11" s="5506">
        <f t="shared" si="3"/>
        <v>22308019.974463433</v>
      </c>
      <c r="G11" s="5506">
        <f t="shared" si="3"/>
        <v>23058214.499822237</v>
      </c>
      <c r="H11" s="5507">
        <f>+H12+H19</f>
        <v>66925828.670285672</v>
      </c>
    </row>
    <row r="12" spans="1:18">
      <c r="A12" s="611" t="s">
        <v>3</v>
      </c>
      <c r="B12" s="1923" t="s">
        <v>2420</v>
      </c>
      <c r="C12" s="5506">
        <f>+C13+C17+C18+C29</f>
        <v>17046487.162</v>
      </c>
      <c r="D12" s="5506">
        <f t="shared" ref="D12:G12" si="4">+D13+D17+D18+D29</f>
        <v>17223283.14563527</v>
      </c>
      <c r="E12" s="5506">
        <f t="shared" si="4"/>
        <v>18522602.195999999</v>
      </c>
      <c r="F12" s="5506">
        <f t="shared" si="4"/>
        <v>19271027.974463433</v>
      </c>
      <c r="G12" s="5506">
        <f t="shared" si="4"/>
        <v>20021222.499822237</v>
      </c>
      <c r="H12" s="5507">
        <f>+H13+H17+H18+H29</f>
        <v>57814852.670285672</v>
      </c>
    </row>
    <row r="13" spans="1:18">
      <c r="A13" s="603">
        <v>1</v>
      </c>
      <c r="B13" s="297" t="s">
        <v>831</v>
      </c>
      <c r="C13" s="5504">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08">
        <f>SUM(H14:H15)</f>
        <v>29129586.117773958</v>
      </c>
    </row>
    <row r="14" spans="1:18">
      <c r="A14" s="614" t="s">
        <v>99</v>
      </c>
      <c r="B14" s="2625" t="s">
        <v>832</v>
      </c>
      <c r="C14" s="5504">
        <f>+C13-C15</f>
        <v>5309454.1620000005</v>
      </c>
      <c r="D14" s="510">
        <f t="shared" ref="D14:G14" si="5">+D13-D15</f>
        <v>5483415.8356352691</v>
      </c>
      <c r="E14" s="510">
        <f t="shared" si="5"/>
        <v>4789918.7960000001</v>
      </c>
      <c r="F14" s="510">
        <f t="shared" si="5"/>
        <v>5413944.974463433</v>
      </c>
      <c r="G14" s="510">
        <f t="shared" si="5"/>
        <v>5597922.3473105226</v>
      </c>
      <c r="H14" s="5508">
        <f>SUM(E14:G14)</f>
        <v>15801786.117773956</v>
      </c>
    </row>
    <row r="15" spans="1:18">
      <c r="A15" s="2629" t="s">
        <v>101</v>
      </c>
      <c r="B15" s="1924" t="s">
        <v>833</v>
      </c>
      <c r="C15" s="5504">
        <f>+'Phụ lục số 1'!G77</f>
        <v>3583530</v>
      </c>
      <c r="D15" s="510">
        <f>+'Phụ lục số 1'!N77</f>
        <v>3236595.31</v>
      </c>
      <c r="E15" s="510">
        <f>+'Phụ lục số 1'!T77</f>
        <v>3925600</v>
      </c>
      <c r="F15" s="510">
        <f>+'Phụ lục số 1'!Z77</f>
        <v>4471100</v>
      </c>
      <c r="G15" s="510">
        <f>+'Phụ lục số 1'!AF77</f>
        <v>4931100</v>
      </c>
      <c r="H15" s="5508">
        <f t="shared" ref="H15" si="6">SUM(E15:G15)</f>
        <v>13327800</v>
      </c>
    </row>
    <row r="16" spans="1:18">
      <c r="A16" s="611" t="s">
        <v>33</v>
      </c>
      <c r="B16" s="1923" t="s">
        <v>203</v>
      </c>
      <c r="C16" s="911">
        <f>SUM(C17:C19)</f>
        <v>9256479</v>
      </c>
      <c r="D16" s="5506">
        <f t="shared" ref="D16:E16" si="7">SUM(D17:D19)</f>
        <v>9558506</v>
      </c>
      <c r="E16" s="5506">
        <f t="shared" si="7"/>
        <v>11903075</v>
      </c>
      <c r="F16" s="5506">
        <f>SUM(F17:F19)</f>
        <v>11903075</v>
      </c>
      <c r="G16" s="5506">
        <f>SUM(G17:G19)</f>
        <v>11903075</v>
      </c>
      <c r="H16" s="5507">
        <f>SUM(H17:H19)</f>
        <v>35709225</v>
      </c>
    </row>
    <row r="17" spans="1:18" s="49" customFormat="1" ht="17.399999999999999">
      <c r="A17" s="611">
        <v>1</v>
      </c>
      <c r="B17" s="1923" t="s">
        <v>205</v>
      </c>
      <c r="C17" s="911">
        <f>+'Phụ lục số 1'!D58</f>
        <v>6617188</v>
      </c>
      <c r="D17" s="5506">
        <f>+'Phụ lục số 1'!J58</f>
        <v>6617188</v>
      </c>
      <c r="E17" s="5506">
        <f>+'Phụ lục số 1'!Q58</f>
        <v>6749488</v>
      </c>
      <c r="F17" s="5506">
        <f>+'Phụ lục số 1'!W58</f>
        <v>6749488</v>
      </c>
      <c r="G17" s="5506">
        <f>+'Phụ lục số 1'!AC58</f>
        <v>6749488</v>
      </c>
      <c r="H17" s="5507">
        <f>SUM(E17:G17)</f>
        <v>20248464</v>
      </c>
    </row>
    <row r="18" spans="1:18" s="49" customFormat="1" ht="17.399999999999999">
      <c r="A18" s="611">
        <v>2</v>
      </c>
      <c r="B18" s="165" t="s">
        <v>3133</v>
      </c>
      <c r="C18" s="911">
        <f>+'Phụ lục số 1'!D60</f>
        <v>650315</v>
      </c>
      <c r="D18" s="5506">
        <f>+'Phụ lục số 1'!J60</f>
        <v>813783</v>
      </c>
      <c r="E18" s="5506">
        <f>+'Phụ lục số 1'!Q60</f>
        <v>2116595</v>
      </c>
      <c r="F18" s="5506">
        <f>+'Phụ lục số 1'!W60</f>
        <v>2116595</v>
      </c>
      <c r="G18" s="5506">
        <f>+'Phụ lục số 1'!AC60</f>
        <v>2116595</v>
      </c>
      <c r="H18" s="5507">
        <f t="shared" ref="H18" si="8">SUM(E18:G18)</f>
        <v>6349785</v>
      </c>
    </row>
    <row r="19" spans="1:18" s="49" customFormat="1" ht="17.399999999999999">
      <c r="A19" s="611">
        <v>3</v>
      </c>
      <c r="B19" s="1923" t="s">
        <v>207</v>
      </c>
      <c r="C19" s="911">
        <f>+C20+C23+C26</f>
        <v>1988976</v>
      </c>
      <c r="D19" s="5506">
        <f t="shared" ref="D19:G19" si="9">+D20+D23+D26</f>
        <v>2127535</v>
      </c>
      <c r="E19" s="5506">
        <f t="shared" si="9"/>
        <v>3036992</v>
      </c>
      <c r="F19" s="5506">
        <f t="shared" si="9"/>
        <v>3036992</v>
      </c>
      <c r="G19" s="5506">
        <f t="shared" si="9"/>
        <v>3036992</v>
      </c>
      <c r="H19" s="5507">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76">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76">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76">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76">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76">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76">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76">
        <f>+H27+H28</f>
        <v>853758</v>
      </c>
    </row>
    <row r="27" spans="1:18" hidden="1">
      <c r="A27" s="1926" t="s">
        <v>99</v>
      </c>
      <c r="B27" s="1927" t="s">
        <v>104</v>
      </c>
      <c r="C27" s="924"/>
      <c r="D27" s="517"/>
      <c r="E27" s="517"/>
      <c r="F27" s="517"/>
      <c r="G27" s="517"/>
      <c r="H27" s="5076">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76">
        <f>SUM(E28:G28)</f>
        <v>853758</v>
      </c>
    </row>
    <row r="29" spans="1:18" s="49" customFormat="1" ht="17.399999999999999">
      <c r="A29" s="611" t="s">
        <v>182</v>
      </c>
      <c r="B29" s="45" t="s">
        <v>45</v>
      </c>
      <c r="C29" s="911">
        <f>+'Phụ lục số 1'!D71</f>
        <v>886000</v>
      </c>
      <c r="D29" s="5506">
        <f>+'Phụ lục số 1'!J71</f>
        <v>1072301</v>
      </c>
      <c r="E29" s="5506">
        <f>+'Phụ lục số 1'!Q71</f>
        <v>941000.4</v>
      </c>
      <c r="F29" s="5506">
        <f>+'Phụ lục số 1'!W71</f>
        <v>519900</v>
      </c>
      <c r="G29" s="5506">
        <f>+'Phụ lục số 1'!AC71</f>
        <v>626117.15251171635</v>
      </c>
      <c r="H29" s="5507">
        <f>SUM(E29:G29)</f>
        <v>2087017.5525117163</v>
      </c>
    </row>
    <row r="30" spans="1:18" s="49" customFormat="1" ht="17.399999999999999">
      <c r="A30" s="611" t="s">
        <v>215</v>
      </c>
      <c r="B30" s="45" t="s">
        <v>47</v>
      </c>
      <c r="C30" s="5506"/>
      <c r="D30" s="5506"/>
      <c r="E30" s="5506"/>
      <c r="F30" s="5506"/>
      <c r="G30" s="5506"/>
      <c r="H30" s="5507"/>
    </row>
    <row r="31" spans="1:18">
      <c r="A31" s="606" t="s">
        <v>37</v>
      </c>
      <c r="B31" s="1928" t="s">
        <v>238</v>
      </c>
      <c r="C31" s="5506">
        <f>+C32+C56</f>
        <v>19035462.956711084</v>
      </c>
      <c r="D31" s="5506">
        <f t="shared" ref="D31" si="13">+D32+D56</f>
        <v>19712858.656711083</v>
      </c>
      <c r="E31" s="5506">
        <f>+E32+E56+E67</f>
        <v>21372894.196000002</v>
      </c>
      <c r="F31" s="5506">
        <f t="shared" ref="F31:G31" si="14">+F32+F56+F67</f>
        <v>22308019.975340258</v>
      </c>
      <c r="G31" s="5506">
        <f t="shared" si="14"/>
        <v>23058214.497882977</v>
      </c>
      <c r="H31" s="5507">
        <f>+H32+H56+H67</f>
        <v>66739128.669223234</v>
      </c>
      <c r="K31" s="679">
        <f>+H11-H31</f>
        <v>186700.00106243789</v>
      </c>
      <c r="M31" s="5513">
        <f>((E31/D31)*(F31/E31)*(G31/F31))^(1/3)</f>
        <v>1.053639448386307</v>
      </c>
      <c r="O31" s="679"/>
    </row>
    <row r="32" spans="1:18" s="49" customFormat="1" ht="17.399999999999999">
      <c r="A32" s="611" t="s">
        <v>3</v>
      </c>
      <c r="B32" s="1923" t="s">
        <v>142</v>
      </c>
      <c r="C32" s="5506">
        <f>+'Phụ lục số 2'!D9</f>
        <v>17046486.956711084</v>
      </c>
      <c r="D32" s="5506">
        <f>+'Phụ lục số 2'!H9</f>
        <v>17585323.656711083</v>
      </c>
      <c r="E32" s="5506">
        <f>+'Phụ lục số 2'!M9</f>
        <v>18330348.400000002</v>
      </c>
      <c r="F32" s="5506">
        <f>+'Phụ lục số 2'!R9</f>
        <v>19271027.975340258</v>
      </c>
      <c r="G32" s="5506">
        <f>+'Phụ lục số 2'!W9</f>
        <v>20021222.497882977</v>
      </c>
      <c r="H32" s="5507">
        <f>SUM(E32:G32)</f>
        <v>57622598.873223238</v>
      </c>
      <c r="K32" s="320">
        <f>+H12-H32</f>
        <v>192253.79706243426</v>
      </c>
      <c r="M32" s="5513">
        <f>((E32/D32)*(F32/E32)*(G32/F32))^(1/3)</f>
        <v>1.0441913118888704</v>
      </c>
      <c r="O32" s="49">
        <f>+E32/C32</f>
        <v>1.075315309632374</v>
      </c>
      <c r="P32" s="49">
        <f>+F32/E32</f>
        <v>1.0513181503598839</v>
      </c>
      <c r="Q32" s="49">
        <f>+G32/F32</f>
        <v>1.0389286198693026</v>
      </c>
      <c r="R32" s="5517">
        <f>SUM(O32:Q32)^(1/3)</f>
        <v>1.4683072559853116</v>
      </c>
    </row>
    <row r="33" spans="1:13" s="49" customFormat="1" ht="17.399999999999999">
      <c r="A33" s="611">
        <v>1</v>
      </c>
      <c r="B33" s="1923" t="s">
        <v>208</v>
      </c>
      <c r="C33" s="5506">
        <f>+'Phụ lục số 2'!D10</f>
        <v>5331240.1620000005</v>
      </c>
      <c r="D33" s="5506">
        <f>+'Phụ lục số 2'!H10</f>
        <v>5531240.1620000005</v>
      </c>
      <c r="E33" s="5506">
        <f>+'Phụ lục số 2'!M10</f>
        <v>4666890</v>
      </c>
      <c r="F33" s="5506">
        <f>+'Phụ lục số 2'!R10</f>
        <v>5207212.043456913</v>
      </c>
      <c r="G33" s="5506">
        <f>+'Phụ lục số 2'!W10</f>
        <v>5338707.7565428363</v>
      </c>
      <c r="H33" s="5507">
        <f t="shared" ref="H33:H44" si="15">SUM(E33:G33)</f>
        <v>15212809.799999747</v>
      </c>
      <c r="K33" s="5515">
        <f>+H33/H32</f>
        <v>0.26400770006000229</v>
      </c>
      <c r="M33" s="5513">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07">
        <f t="shared" si="15"/>
        <v>3512809.7999997493</v>
      </c>
      <c r="M34" s="5513">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07">
        <f t="shared" si="15"/>
        <v>5200000</v>
      </c>
      <c r="M35" s="5513">
        <f t="shared" si="16"/>
        <v>1.0056180954101128</v>
      </c>
    </row>
    <row r="36" spans="1:13" ht="55.2">
      <c r="A36" s="614"/>
      <c r="B36" s="4935" t="s">
        <v>3189</v>
      </c>
      <c r="C36" s="517"/>
      <c r="D36" s="517"/>
      <c r="E36" s="328">
        <f>+'Phụ lục số 2'!M13</f>
        <v>160000</v>
      </c>
      <c r="F36" s="328">
        <f>+'Phụ lục số 2'!R13</f>
        <v>180000</v>
      </c>
      <c r="G36" s="328">
        <f>+'Phụ lục số 2'!W13</f>
        <v>180000</v>
      </c>
      <c r="H36" s="1657">
        <f t="shared" si="15"/>
        <v>520000</v>
      </c>
      <c r="M36" s="5513"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13">
        <f t="shared" si="16"/>
        <v>1.0076926099960117</v>
      </c>
    </row>
    <row r="38" spans="1:13" ht="27.6">
      <c r="A38" s="614"/>
      <c r="B38" s="4956" t="s">
        <v>3188</v>
      </c>
      <c r="C38" s="517"/>
      <c r="D38" s="517"/>
      <c r="E38" s="328">
        <f>+'Phụ lục số 2'!M15</f>
        <v>100000</v>
      </c>
      <c r="F38" s="517">
        <f>+'Phụ lục số 2'!R15</f>
        <v>120000</v>
      </c>
      <c r="G38" s="517">
        <f>+'Phụ lục số 2'!W15</f>
        <v>135000</v>
      </c>
      <c r="H38" s="1657">
        <f t="shared" si="15"/>
        <v>355000</v>
      </c>
      <c r="M38" s="5513"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13"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13" t="e">
        <f t="shared" si="16"/>
        <v>#DIV/0!</v>
      </c>
    </row>
    <row r="41" spans="1:13" hidden="1">
      <c r="A41" s="4892" t="s">
        <v>3126</v>
      </c>
      <c r="B41" s="4780" t="s">
        <v>3142</v>
      </c>
      <c r="C41" s="517">
        <f>+C40</f>
        <v>60000</v>
      </c>
      <c r="D41" s="517">
        <f>+D40</f>
        <v>60000</v>
      </c>
      <c r="E41" s="517"/>
      <c r="F41" s="517"/>
      <c r="G41" s="517"/>
      <c r="H41" s="1657">
        <f t="shared" si="15"/>
        <v>0</v>
      </c>
      <c r="M41" s="5513" t="e">
        <f t="shared" si="16"/>
        <v>#DIV/0!</v>
      </c>
    </row>
    <row r="42" spans="1:13" ht="41.4" hidden="1">
      <c r="A42" s="4892" t="s">
        <v>3127</v>
      </c>
      <c r="B42" s="4780" t="s">
        <v>3141</v>
      </c>
      <c r="C42" s="517"/>
      <c r="D42" s="517"/>
      <c r="E42" s="517"/>
      <c r="F42" s="517"/>
      <c r="G42" s="517"/>
      <c r="H42" s="1657">
        <f t="shared" si="15"/>
        <v>0</v>
      </c>
      <c r="M42" s="5513" t="e">
        <f t="shared" si="16"/>
        <v>#DIV/0!</v>
      </c>
    </row>
    <row r="43" spans="1:13" hidden="1">
      <c r="A43" s="4892" t="s">
        <v>3143</v>
      </c>
      <c r="B43" s="4780"/>
      <c r="C43" s="517"/>
      <c r="D43" s="517"/>
      <c r="E43" s="517"/>
      <c r="F43" s="517"/>
      <c r="G43" s="517"/>
      <c r="H43" s="5507">
        <f t="shared" si="15"/>
        <v>0</v>
      </c>
      <c r="M43" s="5513" t="e">
        <f t="shared" si="16"/>
        <v>#DIV/0!</v>
      </c>
    </row>
    <row r="44" spans="1:13" hidden="1">
      <c r="A44" s="4892"/>
      <c r="B44" s="4780"/>
      <c r="C44" s="517"/>
      <c r="D44" s="517"/>
      <c r="E44" s="517"/>
      <c r="F44" s="517"/>
      <c r="G44" s="517"/>
      <c r="H44" s="5507">
        <f t="shared" si="15"/>
        <v>0</v>
      </c>
      <c r="M44" s="5513" t="e">
        <f t="shared" si="16"/>
        <v>#DIV/0!</v>
      </c>
    </row>
    <row r="45" spans="1:13" s="49" customFormat="1" ht="17.399999999999999">
      <c r="A45" s="611">
        <v>2</v>
      </c>
      <c r="B45" s="1923" t="s">
        <v>209</v>
      </c>
      <c r="C45" s="5506">
        <f>+'Phụ lục số 2'!D22</f>
        <v>10664978.794711081</v>
      </c>
      <c r="D45" s="5506">
        <f>+'Phụ lục số 2'!H22</f>
        <v>11721214.294711081</v>
      </c>
      <c r="E45" s="5506">
        <f>+'Phụ lục số 2'!M22</f>
        <v>12761657.450000003</v>
      </c>
      <c r="F45" s="5506">
        <f>+'Phụ lục số 2'!R22</f>
        <v>13049829.156114889</v>
      </c>
      <c r="G45" s="5506">
        <f>+'Phụ lục số 2'!W22</f>
        <v>13492052.394947087</v>
      </c>
      <c r="H45" s="5507">
        <f>SUM(E45:G45)</f>
        <v>39303539.001061983</v>
      </c>
      <c r="K45" s="5515">
        <f>+H45/H32</f>
        <v>0.68208549717680345</v>
      </c>
      <c r="M45" s="5513">
        <f t="shared" si="16"/>
        <v>1.0480173464153508</v>
      </c>
    </row>
    <row r="46" spans="1:13">
      <c r="A46" s="611"/>
      <c r="B46" s="1923" t="s">
        <v>234</v>
      </c>
      <c r="C46" s="517"/>
      <c r="D46" s="517"/>
      <c r="E46" s="517"/>
      <c r="F46" s="517"/>
      <c r="G46" s="517"/>
      <c r="H46" s="5076"/>
      <c r="M46" s="5513"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76">
        <f>SUM(E47:G47)</f>
        <v>17883874.820787944</v>
      </c>
      <c r="M47" s="5513">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76">
        <f t="shared" ref="H48:H55" si="17">SUM(E48:G48)</f>
        <v>96999.551865685469</v>
      </c>
      <c r="M48" s="5513">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76">
        <f t="shared" si="17"/>
        <v>21322664.62840835</v>
      </c>
      <c r="M49" s="5513">
        <f t="shared" si="16"/>
        <v>1.0584865540544917</v>
      </c>
    </row>
    <row r="50" spans="1:13" s="49" customFormat="1" ht="17.399999999999999">
      <c r="A50" s="611">
        <v>3</v>
      </c>
      <c r="B50" s="1931" t="s">
        <v>210</v>
      </c>
      <c r="C50" s="5506">
        <f>+'Phụ lục số 2'!D39</f>
        <v>717399.2</v>
      </c>
      <c r="D50" s="5506">
        <f>+'Phụ lục số 2'!H39</f>
        <v>0.40000000001455194</v>
      </c>
      <c r="E50" s="5506">
        <f>+'Phụ lục số 2'!M39</f>
        <v>519900</v>
      </c>
      <c r="F50" s="5506">
        <f>+'Phụ lục số 2'!R39</f>
        <v>626117.15251171635</v>
      </c>
      <c r="G50" s="5506">
        <f>+'Phụ lục số 2'!W39</f>
        <v>789623.5261911191</v>
      </c>
      <c r="H50" s="5507">
        <f t="shared" si="17"/>
        <v>1935640.6787028355</v>
      </c>
      <c r="M50" s="5513">
        <f t="shared" si="16"/>
        <v>125.44500196803953</v>
      </c>
    </row>
    <row r="51" spans="1:13" s="49" customFormat="1" ht="17.399999999999999">
      <c r="A51" s="611">
        <v>4</v>
      </c>
      <c r="B51" s="334" t="s">
        <v>211</v>
      </c>
      <c r="C51" s="5506"/>
      <c r="D51" s="5506"/>
      <c r="E51" s="5506"/>
      <c r="F51" s="5506"/>
      <c r="G51" s="5506"/>
      <c r="H51" s="5507">
        <f t="shared" si="17"/>
        <v>0</v>
      </c>
      <c r="M51" s="5513" t="e">
        <f t="shared" si="16"/>
        <v>#DIV/0!</v>
      </c>
    </row>
    <row r="52" spans="1:13" s="49" customFormat="1" ht="17.399999999999999">
      <c r="A52" s="611">
        <v>5</v>
      </c>
      <c r="B52" s="45" t="s">
        <v>212</v>
      </c>
      <c r="C52" s="5506"/>
      <c r="D52" s="5506"/>
      <c r="E52" s="5506"/>
      <c r="F52" s="5506"/>
      <c r="G52" s="5506"/>
      <c r="H52" s="5507">
        <f t="shared" si="17"/>
        <v>0</v>
      </c>
      <c r="M52" s="5513" t="e">
        <f t="shared" si="16"/>
        <v>#DIV/0!</v>
      </c>
    </row>
    <row r="53" spans="1:13" s="49" customFormat="1" ht="17.399999999999999">
      <c r="A53" s="611">
        <v>6</v>
      </c>
      <c r="B53" s="1923" t="s">
        <v>174</v>
      </c>
      <c r="C53" s="5506">
        <f>+'Phụ lục số 2'!D37</f>
        <v>2000</v>
      </c>
      <c r="D53" s="5506">
        <f>+'Phụ lục số 2'!H37</f>
        <v>2000</v>
      </c>
      <c r="E53" s="5506">
        <f>+'Phụ lục số 2'!M37</f>
        <v>2000</v>
      </c>
      <c r="F53" s="5506">
        <f>+'Phụ lục số 2'!R37</f>
        <v>2000</v>
      </c>
      <c r="G53" s="5506">
        <f>+'Phụ lục số 2'!W37</f>
        <v>2000</v>
      </c>
      <c r="H53" s="5507">
        <f t="shared" si="17"/>
        <v>6000</v>
      </c>
      <c r="M53" s="5513">
        <f t="shared" si="16"/>
        <v>1</v>
      </c>
    </row>
    <row r="54" spans="1:13" s="49" customFormat="1" ht="17.399999999999999">
      <c r="A54" s="1932">
        <v>7</v>
      </c>
      <c r="B54" s="1923" t="s">
        <v>175</v>
      </c>
      <c r="C54" s="5506">
        <f>+'Phụ lục số 2'!D38</f>
        <v>327868.79999999999</v>
      </c>
      <c r="D54" s="5506">
        <f>+'Phụ lục số 2'!H38</f>
        <v>327868.79999999999</v>
      </c>
      <c r="E54" s="5506">
        <f>+'Phụ lục số 2'!M38</f>
        <v>376400.94999999995</v>
      </c>
      <c r="F54" s="5506">
        <f>+'Phụ lục số 2'!R38</f>
        <v>382369.62325673946</v>
      </c>
      <c r="G54" s="5506">
        <f>+'Phụ lục số 2'!W38</f>
        <v>395338.82020193478</v>
      </c>
      <c r="H54" s="5507">
        <f t="shared" si="17"/>
        <v>1154109.3934586742</v>
      </c>
      <c r="M54" s="5513">
        <f t="shared" si="16"/>
        <v>1.0643630521810408</v>
      </c>
    </row>
    <row r="55" spans="1:13" s="49" customFormat="1" ht="17.399999999999999">
      <c r="A55" s="1932">
        <v>8</v>
      </c>
      <c r="B55" s="1923" t="s">
        <v>213</v>
      </c>
      <c r="C55" s="5506">
        <f>+'Phụ lục số 2'!D36</f>
        <v>3000</v>
      </c>
      <c r="D55" s="5506">
        <f>+'Phụ lục số 2'!H36</f>
        <v>3000</v>
      </c>
      <c r="E55" s="5506">
        <f>+'Phụ lục số 2'!M36</f>
        <v>3500</v>
      </c>
      <c r="F55" s="5506">
        <f>+'Phụ lục số 2'!R36</f>
        <v>3500</v>
      </c>
      <c r="G55" s="5506">
        <f>+'Phụ lục số 2'!W36</f>
        <v>3500</v>
      </c>
      <c r="H55" s="5507">
        <f t="shared" si="17"/>
        <v>10500</v>
      </c>
      <c r="M55" s="5513">
        <f t="shared" si="16"/>
        <v>1.0527265996093966</v>
      </c>
    </row>
    <row r="56" spans="1:13" s="49" customFormat="1" ht="17.399999999999999">
      <c r="A56" s="611" t="s">
        <v>33</v>
      </c>
      <c r="B56" s="1923" t="s">
        <v>214</v>
      </c>
      <c r="C56" s="5509">
        <f>+C57+C60+C63</f>
        <v>1988976</v>
      </c>
      <c r="D56" s="5509">
        <f t="shared" ref="D56:G56" si="19">+D57+D60+D63</f>
        <v>2127535</v>
      </c>
      <c r="E56" s="5509">
        <f>+E57+E60+E63</f>
        <v>3036992</v>
      </c>
      <c r="F56" s="5509">
        <f t="shared" si="19"/>
        <v>3036992</v>
      </c>
      <c r="G56" s="5509">
        <f t="shared" si="19"/>
        <v>3036992</v>
      </c>
      <c r="H56" s="5507">
        <f>+H57+H60+H63</f>
        <v>9110976</v>
      </c>
      <c r="M56" s="5513">
        <f t="shared" si="16"/>
        <v>1.1259583125604042</v>
      </c>
    </row>
    <row r="57" spans="1:13">
      <c r="A57" s="603">
        <v>1</v>
      </c>
      <c r="B57" s="46" t="s">
        <v>178</v>
      </c>
      <c r="C57" s="5503">
        <f>+C58+C59</f>
        <v>1814491</v>
      </c>
      <c r="D57" s="5503">
        <f t="shared" ref="D57:G57" si="20">+D58+D59</f>
        <v>1814491</v>
      </c>
      <c r="E57" s="5503">
        <f t="shared" si="20"/>
        <v>2530494</v>
      </c>
      <c r="F57" s="5503">
        <f t="shared" si="20"/>
        <v>2530494</v>
      </c>
      <c r="G57" s="5503">
        <f t="shared" si="20"/>
        <v>2530494</v>
      </c>
      <c r="H57" s="5076">
        <f>+H58+H59</f>
        <v>7591482</v>
      </c>
      <c r="M57" s="5513">
        <f t="shared" si="16"/>
        <v>1.1172494884811348</v>
      </c>
    </row>
    <row r="58" spans="1:13" hidden="1">
      <c r="A58" s="603" t="s">
        <v>99</v>
      </c>
      <c r="B58" s="46" t="s">
        <v>100</v>
      </c>
      <c r="C58" s="5503">
        <f>+'Phụ lục số 2'!D42</f>
        <v>1681570</v>
      </c>
      <c r="D58" s="517">
        <f>+'Phụ lục số 2'!H42</f>
        <v>1681570</v>
      </c>
      <c r="E58" s="517">
        <f>+'Phụ lục số 2'!M42</f>
        <v>2399255</v>
      </c>
      <c r="F58" s="517">
        <f>+'Phụ lục số 2'!R42</f>
        <v>2399255</v>
      </c>
      <c r="G58" s="517">
        <f>+'Phụ lục số 2'!W42</f>
        <v>2399255</v>
      </c>
      <c r="H58" s="5076">
        <f>SUM(E58:G58)</f>
        <v>7197765</v>
      </c>
      <c r="M58" s="5513">
        <f t="shared" si="16"/>
        <v>1.1257807525591244</v>
      </c>
    </row>
    <row r="59" spans="1:13" hidden="1">
      <c r="A59" s="603" t="s">
        <v>101</v>
      </c>
      <c r="B59" s="46" t="s">
        <v>102</v>
      </c>
      <c r="C59" s="5503">
        <f>+'Phụ lục số 2'!D43</f>
        <v>132921</v>
      </c>
      <c r="D59" s="517">
        <f>+'Phụ lục số 2'!H43</f>
        <v>132921</v>
      </c>
      <c r="E59" s="517">
        <f>+'Phụ lục số 2'!M43</f>
        <v>131239</v>
      </c>
      <c r="F59" s="517">
        <f>+'Phụ lục số 2'!R43</f>
        <v>131239</v>
      </c>
      <c r="G59" s="517">
        <f>+'Phụ lục số 2'!W43</f>
        <v>131239</v>
      </c>
      <c r="H59" s="5076">
        <f>SUM(E59:G59)</f>
        <v>393717</v>
      </c>
      <c r="M59" s="5513">
        <f t="shared" si="16"/>
        <v>0.99576403765684651</v>
      </c>
    </row>
    <row r="60" spans="1:13">
      <c r="A60" s="603">
        <v>2</v>
      </c>
      <c r="B60" s="46" t="s">
        <v>179</v>
      </c>
      <c r="C60" s="5503">
        <f>+C61+C62</f>
        <v>174485</v>
      </c>
      <c r="D60" s="5503">
        <f t="shared" ref="D60:G60" si="21">+D61+D62</f>
        <v>174485</v>
      </c>
      <c r="E60" s="5503">
        <f t="shared" si="21"/>
        <v>221912</v>
      </c>
      <c r="F60" s="5503">
        <f t="shared" si="21"/>
        <v>221912</v>
      </c>
      <c r="G60" s="5503">
        <f t="shared" si="21"/>
        <v>221912</v>
      </c>
      <c r="H60" s="5076">
        <f>SUM(H61:H62)</f>
        <v>665736</v>
      </c>
      <c r="M60" s="5513">
        <f t="shared" si="16"/>
        <v>1.0834467302536834</v>
      </c>
    </row>
    <row r="61" spans="1:13" hidden="1">
      <c r="A61" s="603" t="s">
        <v>99</v>
      </c>
      <c r="B61" s="46" t="s">
        <v>103</v>
      </c>
      <c r="C61" s="5503">
        <f>+'Phụ lục số 1'!D66</f>
        <v>72469</v>
      </c>
      <c r="D61" s="517">
        <f>+'Phụ lục số 2'!H45</f>
        <v>72469</v>
      </c>
      <c r="E61" s="517">
        <f>+'Phụ lục số 2'!M45</f>
        <v>186007</v>
      </c>
      <c r="F61" s="517">
        <f>+'Phụ lục số 2'!R45</f>
        <v>186007</v>
      </c>
      <c r="G61" s="517">
        <f>+'Phụ lục số 2'!W45</f>
        <v>186007</v>
      </c>
      <c r="H61" s="5076">
        <f>SUM(E61:G61)</f>
        <v>558021</v>
      </c>
      <c r="M61" s="5513">
        <f t="shared" si="16"/>
        <v>1.3691751447634277</v>
      </c>
    </row>
    <row r="62" spans="1:13" hidden="1">
      <c r="A62" s="603" t="s">
        <v>101</v>
      </c>
      <c r="B62" s="46" t="s">
        <v>102</v>
      </c>
      <c r="C62" s="5503">
        <f>+'Phụ lục số 1'!D67</f>
        <v>102016</v>
      </c>
      <c r="D62" s="517">
        <f>+'Phụ lục số 2'!H46</f>
        <v>102016</v>
      </c>
      <c r="E62" s="517">
        <f>+'Phụ lục số 2'!M46</f>
        <v>35905</v>
      </c>
      <c r="F62" s="517">
        <f>+'Phụ lục số 2'!R46</f>
        <v>35905</v>
      </c>
      <c r="G62" s="517">
        <f>+'Phụ lục số 2'!W46</f>
        <v>35905</v>
      </c>
      <c r="H62" s="5076">
        <f>SUM(E62:G62)</f>
        <v>107715</v>
      </c>
      <c r="M62" s="5513">
        <f t="shared" si="16"/>
        <v>0.70603930700908013</v>
      </c>
    </row>
    <row r="63" spans="1:13">
      <c r="A63" s="603">
        <v>3</v>
      </c>
      <c r="B63" s="46" t="s">
        <v>180</v>
      </c>
      <c r="C63" s="5503">
        <f>+C64+C65</f>
        <v>0</v>
      </c>
      <c r="D63" s="5503">
        <f t="shared" ref="D63:G63" si="22">+D64+D65</f>
        <v>138559</v>
      </c>
      <c r="E63" s="5503">
        <f t="shared" si="22"/>
        <v>284586</v>
      </c>
      <c r="F63" s="5503">
        <f t="shared" si="22"/>
        <v>284586</v>
      </c>
      <c r="G63" s="5503">
        <f t="shared" si="22"/>
        <v>284586</v>
      </c>
      <c r="H63" s="5076">
        <f>+H64+H65</f>
        <v>853758</v>
      </c>
      <c r="M63" s="5513">
        <f t="shared" si="16"/>
        <v>1.2711386686975881</v>
      </c>
    </row>
    <row r="64" spans="1:13" hidden="1">
      <c r="A64" s="603" t="s">
        <v>99</v>
      </c>
      <c r="B64" s="46" t="s">
        <v>104</v>
      </c>
      <c r="C64" s="5503"/>
      <c r="D64" s="517">
        <f>+'Phụ lục số 2'!H48</f>
        <v>0</v>
      </c>
      <c r="E64" s="517">
        <f>+'Phụ lục số 2'!M48</f>
        <v>0</v>
      </c>
      <c r="F64" s="517">
        <f>+'Phụ lục số 2'!R48</f>
        <v>0</v>
      </c>
      <c r="G64" s="517">
        <f>+'Phụ lục số 2'!W48</f>
        <v>0</v>
      </c>
      <c r="H64" s="5076">
        <f>SUM(E64:G64)</f>
        <v>0</v>
      </c>
      <c r="M64" s="5513" t="e">
        <f t="shared" si="16"/>
        <v>#DIV/0!</v>
      </c>
    </row>
    <row r="65" spans="1:13" hidden="1">
      <c r="A65" s="603" t="s">
        <v>101</v>
      </c>
      <c r="B65" s="46" t="s">
        <v>105</v>
      </c>
      <c r="C65" s="5503"/>
      <c r="D65" s="517">
        <f>+'Phụ lục số 2'!H49</f>
        <v>138559</v>
      </c>
      <c r="E65" s="517">
        <f>+'Phụ lục số 2'!M49</f>
        <v>284586</v>
      </c>
      <c r="F65" s="517">
        <f>+'Phụ lục số 2'!R49</f>
        <v>284586</v>
      </c>
      <c r="G65" s="517">
        <f>+'Phụ lục số 2'!W49</f>
        <v>284586</v>
      </c>
      <c r="H65" s="5076">
        <f>SUM(E65:G65)</f>
        <v>853758</v>
      </c>
      <c r="M65" s="5513">
        <f t="shared" si="16"/>
        <v>1.2711386686975881</v>
      </c>
    </row>
    <row r="66" spans="1:13" s="49" customFormat="1" ht="17.399999999999999">
      <c r="A66" s="611" t="s">
        <v>182</v>
      </c>
      <c r="B66" s="1933" t="s">
        <v>181</v>
      </c>
      <c r="C66" s="5509"/>
      <c r="D66" s="5506"/>
      <c r="E66" s="5506">
        <f>+'Phụ lục số 2'!M50</f>
        <v>0</v>
      </c>
      <c r="F66" s="5506">
        <f>+'Phụ lục số 2'!R50</f>
        <v>0</v>
      </c>
      <c r="G66" s="5506">
        <f>+'Phụ lục số 2'!W50</f>
        <v>0</v>
      </c>
      <c r="H66" s="5507">
        <f t="shared" ref="H66:H68" si="23">SUM(E66:G66)</f>
        <v>0</v>
      </c>
      <c r="M66" s="5513" t="e">
        <f t="shared" si="16"/>
        <v>#DIV/0!</v>
      </c>
    </row>
    <row r="67" spans="1:13" s="49" customFormat="1" ht="17.399999999999999">
      <c r="A67" s="611" t="s">
        <v>744</v>
      </c>
      <c r="B67" s="1923" t="s">
        <v>3233</v>
      </c>
      <c r="C67" s="5509"/>
      <c r="D67" s="5506"/>
      <c r="E67" s="5506">
        <f>+'Phụ lục số 2'!M51</f>
        <v>5553.7960000000003</v>
      </c>
      <c r="F67" s="5506">
        <f>+'Phụ lục số 2'!R51</f>
        <v>0</v>
      </c>
      <c r="G67" s="5506">
        <f>+'Phụ lục số 2'!W51</f>
        <v>0</v>
      </c>
      <c r="H67" s="5507">
        <f t="shared" si="23"/>
        <v>5553.7960000000003</v>
      </c>
      <c r="M67" s="5513" t="e">
        <f t="shared" si="16"/>
        <v>#DIV/0!</v>
      </c>
    </row>
    <row r="68" spans="1:13" s="49" customFormat="1" thickBot="1">
      <c r="A68" s="632" t="s">
        <v>46</v>
      </c>
      <c r="B68" s="2632" t="s">
        <v>347</v>
      </c>
      <c r="C68" s="5510"/>
      <c r="D68" s="5511"/>
      <c r="E68" s="5511">
        <f>+'Phụ lục số 2'!M52</f>
        <v>186700</v>
      </c>
      <c r="F68" s="5511">
        <f>+'Phụ lục số 2'!R52</f>
        <v>0</v>
      </c>
      <c r="G68" s="5511">
        <f>+'Phụ lục số 2'!W52</f>
        <v>0</v>
      </c>
      <c r="H68" s="5512">
        <f t="shared" si="23"/>
        <v>186700</v>
      </c>
      <c r="J68" s="320">
        <f>+H68+H67</f>
        <v>192253.796</v>
      </c>
      <c r="M68" s="5513"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082" t="s">
        <v>230</v>
      </c>
      <c r="B1" s="6082"/>
      <c r="C1" s="6082"/>
      <c r="D1" s="6082"/>
      <c r="E1" s="6082"/>
      <c r="F1" s="6082"/>
      <c r="G1" s="6082"/>
      <c r="H1" s="6082"/>
      <c r="I1" s="6082"/>
      <c r="J1" s="6082"/>
      <c r="K1" s="6082"/>
    </row>
    <row r="2" spans="1:29">
      <c r="A2" s="6083" t="s">
        <v>232</v>
      </c>
      <c r="B2" s="6083"/>
      <c r="C2" s="6083"/>
      <c r="D2" s="6083"/>
      <c r="E2" s="6083"/>
      <c r="F2" s="6083"/>
      <c r="G2" s="6083"/>
      <c r="H2" s="6083"/>
      <c r="I2" s="6083"/>
      <c r="J2" s="6083"/>
      <c r="K2" s="6083"/>
    </row>
    <row r="3" spans="1:29">
      <c r="A3" s="6084"/>
      <c r="B3" s="6084"/>
      <c r="C3" s="6084"/>
      <c r="D3" s="6084"/>
      <c r="E3" s="6084"/>
      <c r="F3" s="6084"/>
      <c r="G3" s="6084"/>
      <c r="H3" s="6084"/>
      <c r="I3" s="6084"/>
      <c r="J3" s="6084"/>
      <c r="K3" s="6084"/>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548" t="s">
        <v>200</v>
      </c>
      <c r="B6" s="6505" t="s">
        <v>201</v>
      </c>
      <c r="C6" s="6080" t="s">
        <v>219</v>
      </c>
      <c r="D6" s="6080"/>
      <c r="E6" s="6080"/>
      <c r="F6" s="6080" t="s">
        <v>223</v>
      </c>
      <c r="G6" s="6080"/>
      <c r="H6" s="6080"/>
      <c r="I6" s="6080" t="s">
        <v>224</v>
      </c>
      <c r="J6" s="6080"/>
      <c r="K6" s="6080"/>
      <c r="L6" s="6080" t="s">
        <v>225</v>
      </c>
      <c r="M6" s="6080"/>
      <c r="N6" s="6080"/>
      <c r="O6" s="6080" t="s">
        <v>226</v>
      </c>
      <c r="P6" s="6080"/>
      <c r="Q6" s="6080"/>
      <c r="R6" s="6228" t="s">
        <v>3264</v>
      </c>
      <c r="S6" s="6228"/>
      <c r="T6" s="6229"/>
      <c r="U6" s="6230" t="s">
        <v>227</v>
      </c>
      <c r="V6" s="6080"/>
      <c r="W6" s="6080"/>
      <c r="X6" s="6080" t="s">
        <v>228</v>
      </c>
      <c r="Y6" s="6080"/>
      <c r="Z6" s="6080"/>
      <c r="AA6" s="6080" t="s">
        <v>229</v>
      </c>
      <c r="AB6" s="6080"/>
      <c r="AC6" s="6081"/>
    </row>
    <row r="7" spans="1:29">
      <c r="A7" s="6549"/>
      <c r="B7" s="6294"/>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8">
        <f t="shared" ref="K8" si="1">SUM(K12+K18+K31+K32)</f>
        <v>11751651.907</v>
      </c>
      <c r="L8" s="4918">
        <f>SUM(M8:N8)</f>
        <v>29386371.881463431</v>
      </c>
      <c r="M8" s="4918">
        <f>SUM(M12+M18+M31+M32)</f>
        <v>17414770.464828283</v>
      </c>
      <c r="N8" s="4918">
        <f t="shared" ref="N8" si="2">SUM(N12+N18+N31+N32)</f>
        <v>11971601.41663515</v>
      </c>
      <c r="O8" s="4918">
        <f>SUM(P8:Q8)</f>
        <v>30136566.406822234</v>
      </c>
      <c r="P8" s="4918">
        <f>SUM(P12+P18+P31+P32)</f>
        <v>17871125.956189539</v>
      </c>
      <c r="Q8" s="4918">
        <f t="shared" ref="Q8" si="3">SUM(Q12+Q18+Q31+Q32)</f>
        <v>12265440.450632697</v>
      </c>
      <c r="R8" s="5464">
        <f>SUM(S8:T8)</f>
        <v>88160884.391285673</v>
      </c>
      <c r="S8" s="4918">
        <f>SUM(S12+S18+S31+S32)</f>
        <v>52172190.617017828</v>
      </c>
      <c r="T8" s="4919">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57">
        <f t="shared" ref="S12:S13" si="13">+P12+M12+J12</f>
        <v>16260656.707323685</v>
      </c>
      <c r="T12" s="5461">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55"/>
      <c r="S13" s="5458">
        <f t="shared" si="13"/>
        <v>0</v>
      </c>
      <c r="T13" s="5462">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58">
        <f>SUM(S14:T14)</f>
        <v>5200000</v>
      </c>
      <c r="S14" s="5458">
        <f>+P14+M14+J14</f>
        <v>1586500</v>
      </c>
      <c r="T14" s="5462">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58">
        <f t="shared" ref="R15:R33" si="19">SUM(S15:T15)</f>
        <v>6500000</v>
      </c>
      <c r="S15" s="5458">
        <f t="shared" ref="S15:S32" si="20">+P15+M15+J15</f>
        <v>6500000</v>
      </c>
      <c r="T15" s="5462">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58">
        <f t="shared" si="19"/>
        <v>243000</v>
      </c>
      <c r="S16" s="5458">
        <f t="shared" si="20"/>
        <v>243000</v>
      </c>
      <c r="T16" s="5462">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58">
        <f t="shared" si="19"/>
        <v>17186586.117773958</v>
      </c>
      <c r="S17" s="5458">
        <f t="shared" si="20"/>
        <v>7931156.7073236844</v>
      </c>
      <c r="T17" s="5462">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57">
        <f t="shared" si="19"/>
        <v>56944280.721000001</v>
      </c>
      <c r="S18" s="5457">
        <f t="shared" si="20"/>
        <v>35709225</v>
      </c>
      <c r="T18" s="5461">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08">
        <f>H19</f>
        <v>4430923</v>
      </c>
      <c r="L19" s="45">
        <f>SUM(M19:N19)</f>
        <v>11180411</v>
      </c>
      <c r="M19" s="45">
        <f>+'Phụ lục số 1'!AA58</f>
        <v>6749488</v>
      </c>
      <c r="N19" s="4808">
        <f>+K19</f>
        <v>4430923</v>
      </c>
      <c r="O19" s="45">
        <f>SUM(P19:Q19)</f>
        <v>11180411</v>
      </c>
      <c r="P19" s="45">
        <f>+'Phụ lục số 1'!AG58</f>
        <v>6749488</v>
      </c>
      <c r="Q19" s="45">
        <f>N19</f>
        <v>4430923</v>
      </c>
      <c r="R19" s="5457">
        <f t="shared" si="19"/>
        <v>33541233</v>
      </c>
      <c r="S19" s="5457">
        <f t="shared" si="20"/>
        <v>20248464</v>
      </c>
      <c r="T19" s="5461">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4808">
        <f>+'Phụ lục số 7'!E38</f>
        <v>1681469</v>
      </c>
      <c r="L20" s="45">
        <f>SUM(M20:N20)</f>
        <v>3798064</v>
      </c>
      <c r="M20" s="45">
        <f>+'Phụ lục số 1'!AA60</f>
        <v>2116595</v>
      </c>
      <c r="N20" s="4808">
        <f>+K20</f>
        <v>1681469</v>
      </c>
      <c r="O20" s="45">
        <f>SUM(P20:Q20)</f>
        <v>3798064</v>
      </c>
      <c r="P20" s="45">
        <f>+'Phụ lục số 1'!AG60</f>
        <v>2116595</v>
      </c>
      <c r="Q20" s="45">
        <f>+N20</f>
        <v>1681469</v>
      </c>
      <c r="R20" s="5457">
        <f t="shared" si="19"/>
        <v>11394192</v>
      </c>
      <c r="S20" s="5457">
        <f t="shared" si="20"/>
        <v>6349785</v>
      </c>
      <c r="T20" s="5461">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57">
        <f t="shared" si="19"/>
        <v>12008855.721000001</v>
      </c>
      <c r="S21" s="5457">
        <f t="shared" si="20"/>
        <v>9110976</v>
      </c>
      <c r="T21" s="5461">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58">
        <f>SUM(S22:T22)</f>
        <v>7591482</v>
      </c>
      <c r="S22" s="5458">
        <f t="shared" ref="S22:S31" si="40">+P22+M22+J22</f>
        <v>7591482</v>
      </c>
      <c r="T22" s="5462">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4804"/>
      <c r="L23" s="46">
        <f>SUM(M23:N23)</f>
        <v>2399255</v>
      </c>
      <c r="M23" s="46">
        <f>+'Phụ lục số 1'!AA63</f>
        <v>2399255</v>
      </c>
      <c r="N23" s="46"/>
      <c r="O23" s="46">
        <f>SUM(P23:Q23)</f>
        <v>2399255</v>
      </c>
      <c r="P23" s="46">
        <f>+'Phụ lục số 1'!AG63</f>
        <v>2399255</v>
      </c>
      <c r="Q23" s="46"/>
      <c r="R23" s="5458">
        <f t="shared" si="19"/>
        <v>7197765</v>
      </c>
      <c r="S23" s="5458">
        <f t="shared" si="40"/>
        <v>7197765</v>
      </c>
      <c r="T23" s="5462">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4804"/>
      <c r="L24" s="46">
        <f>SUM(M24:N24)</f>
        <v>131239</v>
      </c>
      <c r="M24" s="46">
        <f>+'Phụ lục số 1'!AA64</f>
        <v>131239</v>
      </c>
      <c r="N24" s="46"/>
      <c r="O24" s="46">
        <f>SUM(P24:Q24)</f>
        <v>131239</v>
      </c>
      <c r="P24" s="46">
        <f>+'Phụ lục số 1'!AG64</f>
        <v>131239</v>
      </c>
      <c r="Q24" s="46"/>
      <c r="R24" s="5458">
        <f t="shared" si="19"/>
        <v>393717</v>
      </c>
      <c r="S24" s="5458">
        <f t="shared" si="40"/>
        <v>393717</v>
      </c>
      <c r="T24" s="5462">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58">
        <f t="shared" si="19"/>
        <v>2683197.4169999999</v>
      </c>
      <c r="S25" s="5458">
        <f t="shared" si="40"/>
        <v>665736</v>
      </c>
      <c r="T25" s="5462">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4804">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58">
        <f t="shared" si="19"/>
        <v>2575482.4169999999</v>
      </c>
      <c r="S26" s="5458">
        <f t="shared" si="40"/>
        <v>558021</v>
      </c>
      <c r="T26" s="5462">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04">
        <f>+'Phụ lục số 1'!U67</f>
        <v>35905</v>
      </c>
      <c r="K27" s="4804"/>
      <c r="L27" s="46">
        <f>SUM(M27:N27)</f>
        <v>35905</v>
      </c>
      <c r="M27" s="46">
        <f>+'Phụ lục số 1'!AA67</f>
        <v>35905</v>
      </c>
      <c r="N27" s="46"/>
      <c r="O27" s="46">
        <f>SUM(P27:Q27)</f>
        <v>35905</v>
      </c>
      <c r="P27" s="46">
        <f>+'Phụ lục số 1'!AG67</f>
        <v>35905</v>
      </c>
      <c r="Q27" s="46"/>
      <c r="R27" s="5458">
        <f t="shared" si="19"/>
        <v>107715</v>
      </c>
      <c r="S27" s="5458">
        <f t="shared" si="40"/>
        <v>107715</v>
      </c>
      <c r="T27" s="5462">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58">
        <f t="shared" si="19"/>
        <v>1734176.304</v>
      </c>
      <c r="S28" s="5458">
        <f t="shared" si="40"/>
        <v>853758</v>
      </c>
      <c r="T28" s="5462">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04"/>
      <c r="L29" s="46">
        <f>SUM(M29:N29)</f>
        <v>0</v>
      </c>
      <c r="M29" s="46">
        <f>+'Phụ lục số 1'!AA69</f>
        <v>0</v>
      </c>
      <c r="N29" s="46">
        <f>K29</f>
        <v>0</v>
      </c>
      <c r="O29" s="46">
        <f>SUM(P29:Q29)</f>
        <v>0</v>
      </c>
      <c r="P29" s="46">
        <f>+'Phụ lục số 1'!AG69</f>
        <v>0</v>
      </c>
      <c r="Q29" s="46">
        <f>N29</f>
        <v>0</v>
      </c>
      <c r="R29" s="5458">
        <f t="shared" si="19"/>
        <v>0</v>
      </c>
      <c r="S29" s="5458">
        <f t="shared" si="40"/>
        <v>0</v>
      </c>
      <c r="T29" s="5462">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04">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58">
        <f t="shared" si="19"/>
        <v>1734176.304</v>
      </c>
      <c r="S30" s="5458">
        <f t="shared" si="40"/>
        <v>853758</v>
      </c>
      <c r="T30" s="5462">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57">
        <f t="shared" si="19"/>
        <v>2087017.5525117163</v>
      </c>
      <c r="S31" s="5457">
        <f t="shared" si="40"/>
        <v>202308.9096941411</v>
      </c>
      <c r="T31" s="5461">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57">
        <f t="shared" si="19"/>
        <v>0</v>
      </c>
      <c r="S32" s="5457">
        <f t="shared" si="20"/>
        <v>0</v>
      </c>
      <c r="T32" s="5461">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57">
        <f t="shared" si="19"/>
        <v>87974184.390223235</v>
      </c>
      <c r="S33" s="5459">
        <f>+P33+M33+J33</f>
        <v>51985490.614930123</v>
      </c>
      <c r="T33" s="5463">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02">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57">
        <f t="shared" ref="R34:R72" si="56">SUM(S34:T34)</f>
        <v>57622598.873223238</v>
      </c>
      <c r="S34" s="5456">
        <f t="shared" ref="S34:S72" si="57">+P34+M34+J34</f>
        <v>22397060.097930118</v>
      </c>
      <c r="T34" s="5460">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09">
        <f>+I36+I37+I39+I41+I42</f>
        <v>4666890</v>
      </c>
      <c r="J35" s="4809">
        <f t="shared" ref="J35:K35" si="60">+J36+J37+J39+J41+J42</f>
        <v>2983390</v>
      </c>
      <c r="K35" s="4809">
        <f t="shared" si="60"/>
        <v>1683500</v>
      </c>
      <c r="L35" s="4809">
        <f>+L36+L37+L39+L41+L42</f>
        <v>5207212.043456913</v>
      </c>
      <c r="M35" s="4809">
        <f t="shared" ref="M35:N35" si="61">+M36+M37+M39+M41+M42</f>
        <v>3357212.043456913</v>
      </c>
      <c r="N35" s="4809">
        <f t="shared" si="61"/>
        <v>1850000</v>
      </c>
      <c r="O35" s="4809">
        <f>+O36+O37+O39+O41+O42</f>
        <v>5338707.7565428363</v>
      </c>
      <c r="P35" s="4809">
        <f>+P36+P37+P39+P41+P42</f>
        <v>3460943.7757059</v>
      </c>
      <c r="Q35" s="4809">
        <f>+Q36+Q37+Q39+Q41+Q42</f>
        <v>1877763.9808369365</v>
      </c>
      <c r="R35" s="5457">
        <f t="shared" si="56"/>
        <v>15212809.799999747</v>
      </c>
      <c r="S35" s="5456">
        <f t="shared" si="57"/>
        <v>9801545.8191628121</v>
      </c>
      <c r="T35" s="5460">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57">
        <f t="shared" si="56"/>
        <v>3512809.7999997493</v>
      </c>
      <c r="S36" s="5456">
        <f t="shared" si="57"/>
        <v>1715045.819162813</v>
      </c>
      <c r="T36" s="5460">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10">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57">
        <f t="shared" si="56"/>
        <v>5200000</v>
      </c>
      <c r="S37" s="5456">
        <f t="shared" si="57"/>
        <v>1586500</v>
      </c>
      <c r="T37" s="5460">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35" t="s">
        <v>3189</v>
      </c>
      <c r="C38" s="1620"/>
      <c r="D38" s="1620"/>
      <c r="E38" s="1620"/>
      <c r="F38" s="193"/>
      <c r="G38" s="193"/>
      <c r="H38" s="193"/>
      <c r="I38" s="4975">
        <f t="shared" si="67"/>
        <v>160000</v>
      </c>
      <c r="J38" s="5166">
        <f>+'Phụ lục số 2'!P13</f>
        <v>160000</v>
      </c>
      <c r="K38" s="5166">
        <f>+'Phụ lục số 2'!Q13</f>
        <v>0</v>
      </c>
      <c r="L38" s="193">
        <f>+M38+N38</f>
        <v>180000</v>
      </c>
      <c r="M38" s="5122">
        <f>+'Phụ lục số 2'!U13</f>
        <v>180000</v>
      </c>
      <c r="N38" s="5122">
        <f>+'Phụ lục số 2'!V13</f>
        <v>0</v>
      </c>
      <c r="O38" s="193">
        <f>+P38+Q38</f>
        <v>180000</v>
      </c>
      <c r="P38" s="5122">
        <f>+'Phụ lục số 2'!Z13</f>
        <v>180000</v>
      </c>
      <c r="Q38" s="5122">
        <f>+'Phụ lục số 2'!AA13</f>
        <v>0</v>
      </c>
      <c r="R38" s="5457">
        <f t="shared" si="56"/>
        <v>520000</v>
      </c>
      <c r="S38" s="5456">
        <f t="shared" si="57"/>
        <v>520000</v>
      </c>
      <c r="T38" s="5460">
        <f t="shared" si="58"/>
        <v>0</v>
      </c>
      <c r="U38" s="1829"/>
      <c r="V38" s="193"/>
      <c r="W38" s="193"/>
      <c r="X38" s="193"/>
      <c r="Y38" s="5122"/>
      <c r="Z38" s="5122"/>
      <c r="AA38" s="193"/>
      <c r="AB38" s="5122"/>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10">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57">
        <f t="shared" si="56"/>
        <v>6500000</v>
      </c>
      <c r="S39" s="5456">
        <f t="shared" si="57"/>
        <v>6500000</v>
      </c>
      <c r="T39" s="5460">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56" t="s">
        <v>3188</v>
      </c>
      <c r="C40" s="1620"/>
      <c r="D40" s="1620"/>
      <c r="E40" s="1620"/>
      <c r="F40" s="193"/>
      <c r="G40" s="193"/>
      <c r="H40" s="193"/>
      <c r="I40" s="4975">
        <f t="shared" si="67"/>
        <v>100000</v>
      </c>
      <c r="J40" s="5166">
        <f>+'Phụ lục số 2'!P15</f>
        <v>100000</v>
      </c>
      <c r="K40" s="5166">
        <f>+'Phụ lục số 2'!Q15</f>
        <v>0</v>
      </c>
      <c r="L40" s="193">
        <f>+M40+N40</f>
        <v>120000</v>
      </c>
      <c r="M40" s="5122">
        <f>+'Phụ lục số 2'!U15</f>
        <v>120000</v>
      </c>
      <c r="N40" s="5122">
        <f>+'Phụ lục số 2'!V15</f>
        <v>0</v>
      </c>
      <c r="O40" s="46">
        <f>SUM(P40:Q40)</f>
        <v>135000</v>
      </c>
      <c r="P40" s="5122">
        <f>+'Phụ lục số 2'!Z15</f>
        <v>135000</v>
      </c>
      <c r="Q40" s="5122">
        <f>+'Phụ lục số 2'!AA15</f>
        <v>0</v>
      </c>
      <c r="R40" s="5457">
        <f t="shared" si="56"/>
        <v>355000</v>
      </c>
      <c r="S40" s="5456">
        <f t="shared" si="57"/>
        <v>355000</v>
      </c>
      <c r="T40" s="5460">
        <f t="shared" si="58"/>
        <v>0</v>
      </c>
      <c r="U40" s="1829"/>
      <c r="V40" s="193"/>
      <c r="W40" s="193"/>
      <c r="X40" s="193"/>
      <c r="Y40" s="5122"/>
      <c r="Z40" s="5122"/>
      <c r="AA40" s="193"/>
      <c r="AB40" s="5122"/>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10">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57">
        <f t="shared" si="56"/>
        <v>0</v>
      </c>
      <c r="S41" s="5456">
        <f t="shared" si="57"/>
        <v>0</v>
      </c>
      <c r="T41" s="5460">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10">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57">
        <f t="shared" si="56"/>
        <v>0</v>
      </c>
      <c r="S42" s="5456">
        <f t="shared" si="57"/>
        <v>0</v>
      </c>
      <c r="T42" s="5460">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2917">
        <f>+'Phụ lục số 2'!Q18</f>
        <v>0</v>
      </c>
      <c r="L43" s="46">
        <f>+M43+N43</f>
        <v>0</v>
      </c>
      <c r="M43" s="328"/>
      <c r="N43" s="328"/>
      <c r="O43" s="46">
        <f>+P43+Q43</f>
        <v>0</v>
      </c>
      <c r="P43" s="328"/>
      <c r="Q43" s="328"/>
      <c r="R43" s="5457">
        <f t="shared" si="56"/>
        <v>0</v>
      </c>
      <c r="S43" s="5456">
        <f t="shared" si="57"/>
        <v>0</v>
      </c>
      <c r="T43" s="5460">
        <f t="shared" si="58"/>
        <v>0</v>
      </c>
      <c r="U43" s="1827"/>
      <c r="V43" s="46"/>
      <c r="W43" s="46"/>
      <c r="X43" s="46"/>
      <c r="Y43" s="328"/>
      <c r="Z43" s="328"/>
      <c r="AA43" s="46"/>
      <c r="AB43" s="328"/>
      <c r="AC43" s="1656"/>
    </row>
    <row r="44" spans="1:33" ht="55.2">
      <c r="A44" s="4892" t="s">
        <v>3127</v>
      </c>
      <c r="B44" s="4780" t="s">
        <v>3141</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57">
        <f t="shared" si="56"/>
        <v>0</v>
      </c>
      <c r="S44" s="5456">
        <f t="shared" si="57"/>
        <v>0</v>
      </c>
      <c r="T44" s="5460">
        <f t="shared" si="58"/>
        <v>0</v>
      </c>
      <c r="U44" s="1827"/>
      <c r="V44" s="46"/>
      <c r="W44" s="46"/>
      <c r="X44" s="46"/>
      <c r="Y44" s="328"/>
      <c r="Z44" s="328"/>
      <c r="AA44" s="46"/>
      <c r="AB44" s="328"/>
      <c r="AC44" s="1656"/>
    </row>
    <row r="45" spans="1:33" hidden="1">
      <c r="A45" s="4892" t="s">
        <v>3143</v>
      </c>
      <c r="B45" s="4780"/>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57">
        <f t="shared" si="56"/>
        <v>0</v>
      </c>
      <c r="S45" s="5456">
        <f t="shared" si="57"/>
        <v>0</v>
      </c>
      <c r="T45" s="5460">
        <f t="shared" si="58"/>
        <v>0</v>
      </c>
      <c r="U45" s="1827"/>
      <c r="V45" s="46"/>
      <c r="W45" s="46"/>
      <c r="X45" s="46"/>
      <c r="Y45" s="328"/>
      <c r="Z45" s="328"/>
      <c r="AA45" s="46"/>
      <c r="AB45" s="328"/>
      <c r="AC45" s="1656"/>
    </row>
    <row r="46" spans="1:33" hidden="1">
      <c r="A46" s="4892"/>
      <c r="B46" s="4780"/>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57">
        <f t="shared" si="56"/>
        <v>0</v>
      </c>
      <c r="S46" s="5456">
        <f t="shared" si="57"/>
        <v>0</v>
      </c>
      <c r="T46" s="5460">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4431">
        <f>+'Phụ lục số 2'!AA22</f>
        <v>9517706.4046643022</v>
      </c>
      <c r="R47" s="5457">
        <f t="shared" si="56"/>
        <v>39303539.001061976</v>
      </c>
      <c r="S47" s="5456">
        <f t="shared" si="57"/>
        <v>11474612.566208323</v>
      </c>
      <c r="T47" s="5460">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34">
        <v>12335657</v>
      </c>
      <c r="AG47" s="5135">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57">
        <f t="shared" si="56"/>
        <v>0</v>
      </c>
      <c r="S48" s="5456">
        <f t="shared" si="57"/>
        <v>0</v>
      </c>
      <c r="T48" s="5460">
        <f t="shared" si="58"/>
        <v>0</v>
      </c>
      <c r="U48" s="1827"/>
      <c r="V48" s="46"/>
      <c r="W48" s="46"/>
      <c r="X48" s="297"/>
      <c r="Y48" s="297"/>
      <c r="Z48" s="297"/>
      <c r="AA48" s="328"/>
      <c r="AB48" s="328"/>
      <c r="AC48" s="1656"/>
      <c r="AF48" s="5134">
        <v>5859513</v>
      </c>
      <c r="AG48" s="5135">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57">
        <f t="shared" si="56"/>
        <v>17883874.82078794</v>
      </c>
      <c r="S49" s="5456">
        <f t="shared" si="57"/>
        <v>3428771.6508180546</v>
      </c>
      <c r="T49" s="5460">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57">
        <f t="shared" si="56"/>
        <v>96999.551865685469</v>
      </c>
      <c r="S50" s="5456">
        <f t="shared" si="57"/>
        <v>96999.551865685469</v>
      </c>
      <c r="T50" s="5460">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21">
        <f t="shared" ref="L51" si="88">SUM(M51:N51)</f>
        <v>7099504.2197785098</v>
      </c>
      <c r="M51" s="5321">
        <f>M47-M49-M50</f>
        <v>2648783.1495892932</v>
      </c>
      <c r="N51" s="5321">
        <f t="shared" ref="N51" si="89">N47-N49-N50</f>
        <v>4450721.0701892162</v>
      </c>
      <c r="O51" s="5321">
        <f t="shared" ref="O51" si="90">SUM(P51:Q51)</f>
        <v>7352322.9586298354</v>
      </c>
      <c r="P51" s="5321">
        <f>P47-P49-P50</f>
        <v>2757783.1209352897</v>
      </c>
      <c r="Q51" s="5321">
        <f>Q47-Q49-Q50</f>
        <v>4594539.8376945462</v>
      </c>
      <c r="R51" s="5457">
        <f t="shared" si="56"/>
        <v>21322664.628408346</v>
      </c>
      <c r="S51" s="5456">
        <f t="shared" si="57"/>
        <v>7948841.3635245822</v>
      </c>
      <c r="T51" s="5460">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57">
        <f t="shared" si="56"/>
        <v>0</v>
      </c>
      <c r="S52" s="5456">
        <f t="shared" si="57"/>
        <v>0</v>
      </c>
      <c r="T52" s="5460">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1">
        <f>+'Phụ lục số 2'!U39</f>
        <v>202308.50969414107</v>
      </c>
      <c r="N53" s="4431">
        <f>+'Phụ lục số 2'!V39</f>
        <v>423808.64281757525</v>
      </c>
      <c r="O53" s="1658">
        <f>SUM(P53:Q53)</f>
        <v>789623.5261911191</v>
      </c>
      <c r="P53" s="4431">
        <f>+'Phụ lục số 2'!Z39</f>
        <v>394092.17037477036</v>
      </c>
      <c r="Q53" s="4431">
        <f>+'Phụ lục số 2'!AA39</f>
        <v>395531.35581634869</v>
      </c>
      <c r="R53" s="5457">
        <f t="shared" si="56"/>
        <v>1935640.6787028355</v>
      </c>
      <c r="S53" s="5456">
        <f t="shared" si="57"/>
        <v>596400.6800689114</v>
      </c>
      <c r="T53" s="5460">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57">
        <f t="shared" si="56"/>
        <v>0</v>
      </c>
      <c r="S54" s="5456">
        <f t="shared" si="57"/>
        <v>0</v>
      </c>
      <c r="T54" s="5460">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1">
        <f>+'Phụ lục số 2'!U37</f>
        <v>2000</v>
      </c>
      <c r="N55" s="4431">
        <f>+'Phụ lục số 2'!V37</f>
        <v>0</v>
      </c>
      <c r="O55" s="329">
        <f>SUM(P55:Q55)</f>
        <v>2000</v>
      </c>
      <c r="P55" s="4431">
        <f>+'Phụ lục số 2'!Z37</f>
        <v>2000</v>
      </c>
      <c r="Q55" s="4431">
        <f>+'Phụ lục số 2'!AA37</f>
        <v>0</v>
      </c>
      <c r="R55" s="5457">
        <f t="shared" si="56"/>
        <v>6000</v>
      </c>
      <c r="S55" s="5456">
        <f t="shared" si="57"/>
        <v>6000</v>
      </c>
      <c r="T55" s="5460">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1">
        <f>+'Phụ lục số 2'!U38</f>
        <v>168756.52231412186</v>
      </c>
      <c r="N56" s="4431">
        <f>+'Phụ lục số 2'!V38</f>
        <v>213613.1009426176</v>
      </c>
      <c r="O56" s="329">
        <f t="shared" ref="O56:O57" si="95">SUM(P56:Q56)</f>
        <v>395338.82020193478</v>
      </c>
      <c r="P56" s="4431">
        <f>+'Phụ lục số 2'!Z38</f>
        <v>175285.11017594975</v>
      </c>
      <c r="Q56" s="4431">
        <f>+'Phụ lục số 2'!AA38</f>
        <v>220053.71002598506</v>
      </c>
      <c r="R56" s="5457">
        <f t="shared" si="56"/>
        <v>1154109.3934586742</v>
      </c>
      <c r="S56" s="5456">
        <f t="shared" si="57"/>
        <v>508001.03249007161</v>
      </c>
      <c r="T56" s="5460">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15">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1">
        <f>+'Phụ lục số 2'!U36</f>
        <v>3500</v>
      </c>
      <c r="N57" s="4431">
        <f>+'Phụ lục số 2'!V36</f>
        <v>0</v>
      </c>
      <c r="O57" s="329">
        <f t="shared" si="95"/>
        <v>3500</v>
      </c>
      <c r="P57" s="4431">
        <f>+'Phụ lục số 2'!Z36</f>
        <v>3500</v>
      </c>
      <c r="Q57" s="4431">
        <f>+'Phụ lục số 2'!AA36</f>
        <v>0</v>
      </c>
      <c r="R57" s="5457">
        <f t="shared" si="56"/>
        <v>10500</v>
      </c>
      <c r="S57" s="5456">
        <f t="shared" si="57"/>
        <v>10500</v>
      </c>
      <c r="T57" s="5460">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57">
        <f t="shared" si="56"/>
        <v>9110976</v>
      </c>
      <c r="S58" s="5456">
        <f t="shared" si="57"/>
        <v>8347821</v>
      </c>
      <c r="T58" s="5460">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57">
        <f t="shared" si="56"/>
        <v>7591482</v>
      </c>
      <c r="S59" s="5456">
        <f t="shared" si="57"/>
        <v>7591482</v>
      </c>
      <c r="T59" s="5460">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57">
        <f t="shared" si="56"/>
        <v>7197765</v>
      </c>
      <c r="S60" s="5456">
        <f t="shared" si="57"/>
        <v>7197765</v>
      </c>
      <c r="T60" s="5460">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57">
        <f t="shared" si="56"/>
        <v>393717</v>
      </c>
      <c r="S61" s="5456">
        <f t="shared" si="57"/>
        <v>393717</v>
      </c>
      <c r="T61" s="5460">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57">
        <f t="shared" si="56"/>
        <v>665736</v>
      </c>
      <c r="S62" s="5456">
        <f t="shared" si="57"/>
        <v>377211</v>
      </c>
      <c r="T62" s="5460">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57">
        <f t="shared" si="56"/>
        <v>558021</v>
      </c>
      <c r="S63" s="5456">
        <f t="shared" si="57"/>
        <v>269496</v>
      </c>
      <c r="T63" s="5460">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57">
        <f t="shared" si="56"/>
        <v>107715</v>
      </c>
      <c r="S64" s="5456">
        <f t="shared" si="57"/>
        <v>107715</v>
      </c>
      <c r="T64" s="5460">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57">
        <f t="shared" si="56"/>
        <v>853758</v>
      </c>
      <c r="S65" s="5456">
        <f t="shared" si="57"/>
        <v>379128</v>
      </c>
      <c r="T65" s="5460">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57">
        <f t="shared" si="56"/>
        <v>0</v>
      </c>
      <c r="S66" s="5456">
        <f t="shared" si="57"/>
        <v>0</v>
      </c>
      <c r="T66" s="5460">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57">
        <f t="shared" si="56"/>
        <v>853758</v>
      </c>
      <c r="S67" s="5456">
        <f t="shared" si="57"/>
        <v>379128</v>
      </c>
      <c r="T67" s="5460">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57">
        <f t="shared" si="56"/>
        <v>0</v>
      </c>
      <c r="S68" s="5456">
        <f t="shared" si="57"/>
        <v>0</v>
      </c>
      <c r="T68" s="5460">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627"/>
      <c r="L69" s="329">
        <f>SUM(M69:N69)</f>
        <v>7078351.9069999997</v>
      </c>
      <c r="M69" s="329">
        <f>N18</f>
        <v>7078351.9069999997</v>
      </c>
      <c r="N69" s="330"/>
      <c r="O69" s="329">
        <f>SUM(P69:Q69)</f>
        <v>7078351.9069999997</v>
      </c>
      <c r="P69" s="329">
        <f>Q18</f>
        <v>7078351.9069999997</v>
      </c>
      <c r="Q69" s="329"/>
      <c r="R69" s="5457">
        <f t="shared" si="56"/>
        <v>21235055.721000001</v>
      </c>
      <c r="S69" s="5456">
        <f t="shared" si="57"/>
        <v>21235055.721000001</v>
      </c>
      <c r="T69" s="5460">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3233</v>
      </c>
      <c r="C70" s="195"/>
      <c r="D70" s="45"/>
      <c r="E70" s="46"/>
      <c r="F70" s="45"/>
      <c r="G70" s="45"/>
      <c r="H70" s="45"/>
      <c r="I70" s="4431">
        <f>SUM(J70:K70)</f>
        <v>5553.7960000000003</v>
      </c>
      <c r="J70" s="4431">
        <f>+'Phụ lục số 2'!P51</f>
        <v>5553.7960000000003</v>
      </c>
      <c r="K70" s="4431">
        <f>+'Phụ lục số 2'!Q51</f>
        <v>0</v>
      </c>
      <c r="L70" s="329">
        <f>+M70+N70</f>
        <v>0</v>
      </c>
      <c r="M70" s="329">
        <f>+'Phụ lục số 2'!U51</f>
        <v>0</v>
      </c>
      <c r="N70" s="329">
        <f>+'Phụ lục số 2'!V51</f>
        <v>0</v>
      </c>
      <c r="O70" s="329">
        <f>+P70+Q70</f>
        <v>0</v>
      </c>
      <c r="P70" s="329">
        <f>+'Phụ lục số 2'!Z51</f>
        <v>0</v>
      </c>
      <c r="Q70" s="329">
        <f>+'Phụ lục số 2'!AA51</f>
        <v>0</v>
      </c>
      <c r="R70" s="5457">
        <f t="shared" si="56"/>
        <v>5553.7960000000003</v>
      </c>
      <c r="S70" s="5456">
        <f t="shared" si="57"/>
        <v>5553.7960000000003</v>
      </c>
      <c r="T70" s="5460">
        <f t="shared" si="58"/>
        <v>0</v>
      </c>
      <c r="U70" s="5180"/>
      <c r="V70" s="5181"/>
      <c r="W70" s="5182"/>
      <c r="X70" s="5181"/>
      <c r="Y70" s="5181"/>
      <c r="Z70" s="5182"/>
      <c r="AA70" s="5181"/>
      <c r="AB70" s="5181"/>
      <c r="AC70" s="5183"/>
    </row>
    <row r="71" spans="1:33" s="1644" customFormat="1" ht="18.600000000000001" thickBo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193">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57">
        <f t="shared" si="56"/>
        <v>1.0624285787343979E-3</v>
      </c>
      <c r="S71" s="5456">
        <f t="shared" si="57"/>
        <v>2.0876992493867874E-3</v>
      </c>
      <c r="T71" s="5460">
        <f t="shared" si="58"/>
        <v>-1.0252706706523895E-3</v>
      </c>
      <c r="U71" s="4908">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10"/>
      <c r="D72" s="4911"/>
      <c r="E72" s="4911"/>
      <c r="F72" s="1823"/>
      <c r="G72" s="4912"/>
      <c r="H72" s="4912"/>
      <c r="I72" s="4913">
        <f>SUM(J72:K72)</f>
        <v>186700</v>
      </c>
      <c r="J72" s="4913">
        <f>+'Phụ lục số 2'!P52</f>
        <v>186700</v>
      </c>
      <c r="K72" s="4913">
        <f>+'Phụ lục số 2'!Q52</f>
        <v>0</v>
      </c>
      <c r="L72" s="4914">
        <f>SUM(M72:N72)</f>
        <v>0</v>
      </c>
      <c r="M72" s="4914">
        <f>+'Phụ lục số 2'!U52</f>
        <v>0</v>
      </c>
      <c r="N72" s="4914">
        <f>+'Phụ lục số 2'!V52</f>
        <v>0</v>
      </c>
      <c r="O72" s="4914">
        <f>SUM(P72:Q72)</f>
        <v>0</v>
      </c>
      <c r="P72" s="4914">
        <f>+'Phụ lục số 2'!Z52</f>
        <v>0</v>
      </c>
      <c r="Q72" s="4914">
        <f>+'Phụ lục số 2'!AA52</f>
        <v>0</v>
      </c>
      <c r="R72" s="5465">
        <f t="shared" si="56"/>
        <v>186700</v>
      </c>
      <c r="S72" s="5466">
        <f t="shared" si="57"/>
        <v>186700</v>
      </c>
      <c r="T72" s="5467">
        <f t="shared" si="58"/>
        <v>0</v>
      </c>
      <c r="U72" s="1834"/>
      <c r="V72" s="329"/>
      <c r="W72" s="297"/>
      <c r="X72" s="329"/>
      <c r="Y72" s="329"/>
      <c r="Z72" s="297"/>
      <c r="AA72" s="329"/>
      <c r="AB72" s="329"/>
      <c r="AC72" s="1656"/>
    </row>
    <row r="73" spans="1:33" ht="18.600000000000001" thickTop="1">
      <c r="A73" s="1638"/>
      <c r="B73" s="2733"/>
      <c r="C73" s="5156"/>
      <c r="D73" s="5157"/>
      <c r="E73" s="5157"/>
      <c r="F73" s="5158"/>
      <c r="G73" s="5159"/>
      <c r="H73" s="5159"/>
      <c r="I73" s="5160"/>
      <c r="J73" s="5160"/>
      <c r="K73" s="5160"/>
      <c r="L73" s="5161"/>
      <c r="M73" s="5161"/>
      <c r="N73" s="2770"/>
      <c r="O73" s="5161"/>
      <c r="P73" s="5161"/>
      <c r="Q73" s="2750"/>
      <c r="R73" s="2750"/>
      <c r="S73" s="2750"/>
      <c r="T73" s="2750"/>
      <c r="U73" s="5161"/>
      <c r="V73" s="5161"/>
      <c r="W73" s="2770"/>
      <c r="X73" s="5161"/>
      <c r="Y73" s="5161"/>
      <c r="Z73" s="2770"/>
      <c r="AA73" s="5161"/>
      <c r="AB73" s="5161"/>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082" t="s">
        <v>304</v>
      </c>
      <c r="G78" s="6082"/>
      <c r="H78" s="6082"/>
      <c r="I78" s="6082" t="s">
        <v>297</v>
      </c>
      <c r="J78" s="6082"/>
      <c r="K78" s="6082"/>
      <c r="L78" s="6082" t="s">
        <v>299</v>
      </c>
      <c r="M78" s="6082"/>
      <c r="N78" s="6082"/>
      <c r="O78" s="6082" t="s">
        <v>300</v>
      </c>
      <c r="P78" s="6082"/>
      <c r="Q78" s="6082"/>
      <c r="R78" s="319"/>
      <c r="S78" s="319"/>
      <c r="T78" s="319"/>
      <c r="U78" s="6082" t="s">
        <v>301</v>
      </c>
      <c r="V78" s="6082"/>
      <c r="W78" s="6082"/>
      <c r="X78" s="6082" t="s">
        <v>302</v>
      </c>
      <c r="Y78" s="6082"/>
      <c r="Z78" s="6082"/>
      <c r="AA78" s="6082" t="s">
        <v>303</v>
      </c>
      <c r="AB78" s="6082"/>
      <c r="AC78" s="6082"/>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05"/>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069" t="s">
        <v>230</v>
      </c>
      <c r="B1" s="6069"/>
      <c r="C1" s="6069"/>
      <c r="D1" s="6069"/>
      <c r="E1" s="6069"/>
      <c r="F1" s="6069"/>
      <c r="G1" s="6069"/>
      <c r="H1" s="6069"/>
      <c r="I1" s="6069"/>
      <c r="J1" s="6069"/>
      <c r="K1" s="6069"/>
    </row>
    <row r="2" spans="1:32" ht="14.4">
      <c r="A2" s="6095" t="s">
        <v>231</v>
      </c>
      <c r="B2" s="6095"/>
      <c r="C2" s="6095"/>
      <c r="D2" s="6095"/>
      <c r="E2" s="6095"/>
      <c r="F2" s="6095"/>
      <c r="G2" s="6095"/>
      <c r="H2" s="6095"/>
      <c r="I2" s="6095"/>
      <c r="J2" s="6095"/>
      <c r="K2" s="6095"/>
    </row>
    <row r="3" spans="1:32" ht="13.8">
      <c r="A3" s="6096">
        <f>'Phụ lục số III-CĐC'!A3:K3</f>
        <v>0</v>
      </c>
      <c r="B3" s="6096"/>
      <c r="C3" s="6096"/>
      <c r="D3" s="6096"/>
      <c r="E3" s="6096"/>
      <c r="F3" s="6096"/>
      <c r="G3" s="6096"/>
      <c r="H3" s="6096"/>
      <c r="I3" s="6096"/>
      <c r="J3" s="6096"/>
      <c r="K3" s="6096"/>
    </row>
    <row r="5" spans="1:32" ht="18.600000000000001" thickBot="1">
      <c r="I5" s="32"/>
      <c r="J5" s="32"/>
      <c r="K5" s="32"/>
      <c r="L5" s="32"/>
      <c r="O5" s="32"/>
      <c r="U5" s="32">
        <f>+U10-U34</f>
        <v>-236867.23736638576</v>
      </c>
      <c r="X5" s="32">
        <f>+X10-X34</f>
        <v>95129.553009264171</v>
      </c>
      <c r="AA5" s="32">
        <f>+AA10-AA34</f>
        <v>90736.159677028656</v>
      </c>
    </row>
    <row r="6" spans="1:32" thickTop="1">
      <c r="A6" s="6553" t="s">
        <v>200</v>
      </c>
      <c r="B6" s="6555" t="s">
        <v>201</v>
      </c>
      <c r="C6" s="6557" t="s">
        <v>219</v>
      </c>
      <c r="D6" s="6557"/>
      <c r="E6" s="6557"/>
      <c r="F6" s="6557" t="s">
        <v>223</v>
      </c>
      <c r="G6" s="6557"/>
      <c r="H6" s="6557"/>
      <c r="I6" s="6550" t="s">
        <v>224</v>
      </c>
      <c r="J6" s="6550"/>
      <c r="K6" s="6550"/>
      <c r="L6" s="6550" t="s">
        <v>225</v>
      </c>
      <c r="M6" s="6550"/>
      <c r="N6" s="6550"/>
      <c r="O6" s="6550" t="s">
        <v>226</v>
      </c>
      <c r="P6" s="6550"/>
      <c r="Q6" s="6551"/>
      <c r="R6" s="6227" t="s">
        <v>3264</v>
      </c>
      <c r="S6" s="6228"/>
      <c r="T6" s="6229"/>
      <c r="U6" s="6552" t="s">
        <v>227</v>
      </c>
      <c r="V6" s="6093"/>
      <c r="W6" s="6093"/>
      <c r="X6" s="6093" t="s">
        <v>228</v>
      </c>
      <c r="Y6" s="6093"/>
      <c r="Z6" s="6093"/>
      <c r="AA6" s="6093" t="s">
        <v>229</v>
      </c>
      <c r="AB6" s="6093"/>
      <c r="AC6" s="6094"/>
    </row>
    <row r="7" spans="1:32" ht="17.399999999999999">
      <c r="A7" s="6554"/>
      <c r="B7" s="6556"/>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68" t="s">
        <v>222</v>
      </c>
      <c r="R7" s="50" t="s">
        <v>220</v>
      </c>
      <c r="S7" s="51" t="s">
        <v>221</v>
      </c>
      <c r="T7" s="1640" t="s">
        <v>222</v>
      </c>
      <c r="U7" s="4868" t="s">
        <v>220</v>
      </c>
      <c r="V7" s="342" t="s">
        <v>221</v>
      </c>
      <c r="W7" s="342" t="s">
        <v>222</v>
      </c>
      <c r="X7" s="341" t="s">
        <v>220</v>
      </c>
      <c r="Y7" s="342" t="s">
        <v>221</v>
      </c>
      <c r="Z7" s="342" t="s">
        <v>222</v>
      </c>
      <c r="AA7" s="353" t="s">
        <v>220</v>
      </c>
      <c r="AB7" s="354" t="s">
        <v>221</v>
      </c>
      <c r="AC7" s="355" t="s">
        <v>222</v>
      </c>
    </row>
    <row r="8" spans="1:32" s="123" customFormat="1" ht="17.399999999999999">
      <c r="A8" s="4873" t="s">
        <v>1</v>
      </c>
      <c r="B8" s="4874"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69">
        <f t="shared" ref="Q8" si="2">SUM(Q12+Q18+Q31+Q32)</f>
        <v>5187088.5436326973</v>
      </c>
      <c r="R8" s="125">
        <f>SUM(S8:T8)</f>
        <v>66925828.670285672</v>
      </c>
      <c r="S8" s="125">
        <f>SUM(S12+S18+S31+S32)</f>
        <v>52172190.617017828</v>
      </c>
      <c r="T8" s="4875">
        <f t="shared" ref="T8" si="3">SUM(T12+T18+T31+T32)</f>
        <v>14753638.053267848</v>
      </c>
      <c r="U8" s="4869">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41">
        <f>+I8-I33</f>
        <v>186699.99999999627</v>
      </c>
    </row>
    <row r="9" spans="1:32" s="124" customFormat="1">
      <c r="A9" s="4876"/>
      <c r="B9" s="4877" t="s">
        <v>234</v>
      </c>
      <c r="C9" s="195"/>
      <c r="D9" s="195"/>
      <c r="E9" s="195"/>
      <c r="F9" s="45"/>
      <c r="G9" s="45"/>
      <c r="H9" s="45"/>
      <c r="I9" s="46"/>
      <c r="J9" s="46"/>
      <c r="K9" s="46"/>
      <c r="L9" s="46"/>
      <c r="M9" s="46"/>
      <c r="N9" s="46"/>
      <c r="O9" s="46"/>
      <c r="P9" s="924"/>
      <c r="Q9" s="5470"/>
      <c r="R9" s="46"/>
      <c r="S9" s="924"/>
      <c r="T9" s="2744"/>
      <c r="U9" s="1863"/>
      <c r="V9" s="300"/>
      <c r="W9" s="300"/>
      <c r="X9" s="299"/>
      <c r="Y9" s="300"/>
      <c r="Z9" s="300"/>
      <c r="AA9" s="299"/>
      <c r="AB9" s="300"/>
      <c r="AC9" s="301"/>
    </row>
    <row r="10" spans="1:32" s="124" customFormat="1" ht="17.399999999999999">
      <c r="A10" s="4878"/>
      <c r="B10" s="4879"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71">
        <f>SUM(Q12,Q19,Q29,Q31)</f>
        <v>5187088.5436326973</v>
      </c>
      <c r="R10" s="45">
        <f>SUM(S10:T10)</f>
        <v>51465067.670285672</v>
      </c>
      <c r="S10" s="126">
        <f>SUM(S12,S19,S29,S31)</f>
        <v>36711429.617017828</v>
      </c>
      <c r="T10" s="4880">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78"/>
      <c r="B11" s="4879"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71">
        <f t="shared" ref="Q11" si="11">Q10-Q14-Q15-Q16</f>
        <v>3927088.5436326973</v>
      </c>
      <c r="R11" s="45">
        <f>SUM(S11:T11)</f>
        <v>39522067.670285672</v>
      </c>
      <c r="S11" s="126">
        <f>S10-S14-S15-S16</f>
        <v>28381929.617017828</v>
      </c>
      <c r="T11" s="4880">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78" t="s">
        <v>3</v>
      </c>
      <c r="B12" s="4879"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70">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78"/>
      <c r="B13" s="4879" t="s">
        <v>186</v>
      </c>
      <c r="C13" s="46"/>
      <c r="D13" s="46"/>
      <c r="E13" s="46"/>
      <c r="F13" s="46"/>
      <c r="G13" s="46"/>
      <c r="H13" s="46"/>
      <c r="I13" s="46"/>
      <c r="J13" s="46"/>
      <c r="K13" s="46"/>
      <c r="L13" s="46"/>
      <c r="M13" s="46"/>
      <c r="N13" s="46"/>
      <c r="O13" s="46"/>
      <c r="P13" s="924"/>
      <c r="Q13" s="5470"/>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81"/>
      <c r="B14" s="4882"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72">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81"/>
      <c r="B15" s="4883"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72">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81"/>
      <c r="B16" s="4883"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72">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81"/>
      <c r="B17" s="4883"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73">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78" t="s">
        <v>33</v>
      </c>
      <c r="B18" s="4879"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74">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78">
        <v>1</v>
      </c>
      <c r="B19" s="4879"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75">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78">
        <v>2</v>
      </c>
      <c r="B20" s="4884"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75">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78">
        <v>3</v>
      </c>
      <c r="B21" s="4879"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76">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85" t="s">
        <v>204</v>
      </c>
      <c r="B22" s="4886"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77">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85" t="s">
        <v>99</v>
      </c>
      <c r="B23" s="4886"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70"/>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85" t="s">
        <v>101</v>
      </c>
      <c r="B24" s="4886"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70"/>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85" t="s">
        <v>206</v>
      </c>
      <c r="B25" s="4886"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77">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85" t="s">
        <v>99</v>
      </c>
      <c r="B26" s="4886"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78">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85" t="s">
        <v>101</v>
      </c>
      <c r="B27" s="4886"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70"/>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85" t="s">
        <v>237</v>
      </c>
      <c r="B28" s="4887"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77">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85" t="s">
        <v>99</v>
      </c>
      <c r="B29" s="4886"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78">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85" t="s">
        <v>101</v>
      </c>
      <c r="B30" s="4886"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78">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78" t="s">
        <v>182</v>
      </c>
      <c r="B31" s="4884"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75">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78" t="s">
        <v>215</v>
      </c>
      <c r="B32" s="4884"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75">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888" t="s">
        <v>37</v>
      </c>
      <c r="B33" s="4889"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79">
        <f>Q34+Q58+Q68+Q69+Q70</f>
        <v>12265440.451343574</v>
      </c>
      <c r="R33" s="2741">
        <f t="shared" si="16"/>
        <v>66739128.669223234</v>
      </c>
      <c r="S33" s="2741">
        <f t="shared" si="17"/>
        <v>30750434.893930119</v>
      </c>
      <c r="T33" s="5818">
        <f t="shared" si="18"/>
        <v>35988693.775293119</v>
      </c>
      <c r="U33" s="4870">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78" t="s">
        <v>3</v>
      </c>
      <c r="B34" s="4879"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80">
        <f>SUM(Q35,Q47,Q52,Q53,Q54,Q55,Q56,Q57)</f>
        <v>12011055.451343574</v>
      </c>
      <c r="R34" s="911">
        <f t="shared" si="16"/>
        <v>57622598.873223238</v>
      </c>
      <c r="S34" s="911">
        <f t="shared" si="17"/>
        <v>22397060.097930118</v>
      </c>
      <c r="T34" s="5819">
        <f t="shared" si="18"/>
        <v>35225538.775293119</v>
      </c>
      <c r="U34" s="4871">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38">
        <f>+I34</f>
        <v>18330348.400000006</v>
      </c>
      <c r="AG34" s="124">
        <v>0</v>
      </c>
      <c r="AI34" s="5138">
        <f>+I10-I34</f>
        <v>192253.79599999636</v>
      </c>
    </row>
    <row r="35" spans="1:35" s="124" customFormat="1" ht="17.399999999999999">
      <c r="A35" s="4878">
        <v>1</v>
      </c>
      <c r="B35" s="4879"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80">
        <f t="shared" si="81"/>
        <v>1877763.9808369365</v>
      </c>
      <c r="R35" s="911">
        <f t="shared" si="16"/>
        <v>15212809.799999747</v>
      </c>
      <c r="S35" s="911">
        <f t="shared" si="17"/>
        <v>9801545.8191628121</v>
      </c>
      <c r="T35" s="5819">
        <f t="shared" si="18"/>
        <v>5411263.9808369363</v>
      </c>
      <c r="U35" s="4871">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38">
        <f>+AI34-K53</f>
        <v>-327646.20400000364</v>
      </c>
    </row>
    <row r="36" spans="1:35">
      <c r="A36" s="4890" t="s">
        <v>29</v>
      </c>
      <c r="B36" s="4891"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81">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890" t="s">
        <v>29</v>
      </c>
      <c r="B37" s="4891"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81">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28" customFormat="1" ht="55.2">
      <c r="A38" s="4881"/>
      <c r="B38" s="4935" t="s">
        <v>3141</v>
      </c>
      <c r="C38" s="5318"/>
      <c r="D38" s="5318"/>
      <c r="E38" s="5318"/>
      <c r="F38" s="193"/>
      <c r="G38" s="193"/>
      <c r="H38" s="193"/>
      <c r="I38" s="193">
        <f t="shared" si="87"/>
        <v>160000</v>
      </c>
      <c r="J38" s="193">
        <f>+'Phụ lục số 2'!P13</f>
        <v>160000</v>
      </c>
      <c r="K38" s="193">
        <f>+'Phụ lục số 2'!Q13</f>
        <v>0</v>
      </c>
      <c r="L38" s="193">
        <f>+M38+N38</f>
        <v>180000</v>
      </c>
      <c r="M38" s="5122">
        <f>+'Phụ lục số 2'!U13</f>
        <v>180000</v>
      </c>
      <c r="N38" s="5122">
        <f>+'Phụ lục số 2'!V13</f>
        <v>0</v>
      </c>
      <c r="O38" s="193">
        <f>+P38+Q38</f>
        <v>180000</v>
      </c>
      <c r="P38" s="5122">
        <f>+'Phụ lục số 2'!Z13</f>
        <v>180000</v>
      </c>
      <c r="Q38" s="5482">
        <f>+'Phụ lục số 2'!AA13</f>
        <v>0</v>
      </c>
      <c r="R38" s="46">
        <f t="shared" si="16"/>
        <v>520000</v>
      </c>
      <c r="S38" s="46">
        <f t="shared" si="17"/>
        <v>520000</v>
      </c>
      <c r="T38" s="1645">
        <f t="shared" si="18"/>
        <v>0</v>
      </c>
      <c r="U38" s="1829"/>
      <c r="V38" s="193"/>
      <c r="W38" s="193"/>
      <c r="X38" s="193"/>
      <c r="Y38" s="5122"/>
      <c r="Z38" s="5122"/>
      <c r="AA38" s="193"/>
      <c r="AB38" s="5122"/>
      <c r="AC38" s="5319"/>
      <c r="AI38" s="5820"/>
    </row>
    <row r="39" spans="1:35">
      <c r="A39" s="4890" t="s">
        <v>29</v>
      </c>
      <c r="B39" s="4887"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81">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28" customFormat="1" ht="27.6">
      <c r="A40" s="4881"/>
      <c r="B40" s="4935" t="s">
        <v>3142</v>
      </c>
      <c r="C40" s="5318"/>
      <c r="D40" s="5318"/>
      <c r="E40" s="5318"/>
      <c r="F40" s="193"/>
      <c r="G40" s="193"/>
      <c r="H40" s="193"/>
      <c r="I40" s="193">
        <f t="shared" si="87"/>
        <v>100000</v>
      </c>
      <c r="J40" s="193">
        <f>+'Phụ lục số 2'!P15</f>
        <v>100000</v>
      </c>
      <c r="K40" s="193">
        <f>+'Phụ lục số 2'!Q15</f>
        <v>0</v>
      </c>
      <c r="L40" s="193">
        <f>+M40+N40</f>
        <v>120000</v>
      </c>
      <c r="M40" s="5122">
        <f>+'Phụ lục số 2'!U15</f>
        <v>120000</v>
      </c>
      <c r="N40" s="5122">
        <f>+'Phụ lục số 2'!V15</f>
        <v>0</v>
      </c>
      <c r="O40" s="193">
        <f>+P40+Q40</f>
        <v>135000</v>
      </c>
      <c r="P40" s="5122">
        <f>+'Phụ lục số 2'!Z15</f>
        <v>135000</v>
      </c>
      <c r="Q40" s="5482">
        <f>+'Phụ lục số 2'!AA15</f>
        <v>0</v>
      </c>
      <c r="R40" s="46">
        <f t="shared" si="16"/>
        <v>355000</v>
      </c>
      <c r="S40" s="46">
        <f t="shared" si="17"/>
        <v>355000</v>
      </c>
      <c r="T40" s="1645">
        <f t="shared" si="18"/>
        <v>0</v>
      </c>
      <c r="U40" s="1829"/>
      <c r="V40" s="193"/>
      <c r="W40" s="193"/>
      <c r="X40" s="193"/>
      <c r="Y40" s="5122"/>
      <c r="Z40" s="5122"/>
      <c r="AA40" s="193"/>
      <c r="AB40" s="5122"/>
      <c r="AC40" s="5319"/>
    </row>
    <row r="41" spans="1:35">
      <c r="A41" s="4890" t="s">
        <v>29</v>
      </c>
      <c r="B41" s="4887"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81">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81">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892" t="s">
        <v>3126</v>
      </c>
      <c r="B43" s="4780" t="s">
        <v>3142</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81"/>
      <c r="R43" s="924">
        <f t="shared" si="16"/>
        <v>0</v>
      </c>
      <c r="S43" s="924">
        <f t="shared" si="17"/>
        <v>0</v>
      </c>
      <c r="T43" s="2744">
        <f t="shared" si="18"/>
        <v>0</v>
      </c>
      <c r="U43" s="1827"/>
      <c r="V43" s="46"/>
      <c r="W43" s="46"/>
      <c r="X43" s="46"/>
      <c r="Y43" s="328"/>
      <c r="Z43" s="328"/>
      <c r="AA43" s="46"/>
      <c r="AB43" s="328"/>
      <c r="AC43" s="360"/>
    </row>
    <row r="44" spans="1:35" ht="55.2" hidden="1">
      <c r="A44" s="4892" t="s">
        <v>3127</v>
      </c>
      <c r="B44" s="4780" t="s">
        <v>3141</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81"/>
      <c r="R44" s="924">
        <f t="shared" si="16"/>
        <v>0</v>
      </c>
      <c r="S44" s="924">
        <f t="shared" si="17"/>
        <v>0</v>
      </c>
      <c r="T44" s="2744">
        <f t="shared" si="18"/>
        <v>0</v>
      </c>
      <c r="U44" s="1827"/>
      <c r="V44" s="46"/>
      <c r="W44" s="46"/>
      <c r="X44" s="46"/>
      <c r="Y44" s="328"/>
      <c r="Z44" s="328"/>
      <c r="AA44" s="46"/>
      <c r="AB44" s="328"/>
      <c r="AC44" s="360"/>
    </row>
    <row r="45" spans="1:35" hidden="1">
      <c r="A45" s="4892" t="s">
        <v>3143</v>
      </c>
      <c r="B45" s="4780"/>
      <c r="C45" s="127">
        <f t="shared" si="95"/>
        <v>0</v>
      </c>
      <c r="D45" s="127"/>
      <c r="E45" s="127"/>
      <c r="F45" s="46">
        <f t="shared" si="96"/>
        <v>0</v>
      </c>
      <c r="G45" s="46"/>
      <c r="H45" s="46"/>
      <c r="I45" s="46">
        <f t="shared" si="97"/>
        <v>0</v>
      </c>
      <c r="J45" s="46"/>
      <c r="K45" s="46"/>
      <c r="L45" s="46"/>
      <c r="M45" s="328"/>
      <c r="N45" s="328"/>
      <c r="O45" s="46"/>
      <c r="P45" s="328"/>
      <c r="Q45" s="5481"/>
      <c r="R45" s="924">
        <f t="shared" si="16"/>
        <v>0</v>
      </c>
      <c r="S45" s="924">
        <f t="shared" si="17"/>
        <v>0</v>
      </c>
      <c r="T45" s="2744">
        <f t="shared" si="18"/>
        <v>0</v>
      </c>
      <c r="U45" s="1827"/>
      <c r="V45" s="46"/>
      <c r="W45" s="46"/>
      <c r="X45" s="46"/>
      <c r="Y45" s="328"/>
      <c r="Z45" s="328"/>
      <c r="AA45" s="46"/>
      <c r="AB45" s="328"/>
      <c r="AC45" s="360"/>
    </row>
    <row r="46" spans="1:35" hidden="1">
      <c r="A46" s="4892"/>
      <c r="B46" s="4780"/>
      <c r="C46" s="127">
        <f t="shared" si="95"/>
        <v>0</v>
      </c>
      <c r="D46" s="127"/>
      <c r="E46" s="127"/>
      <c r="F46" s="46">
        <f t="shared" si="96"/>
        <v>0</v>
      </c>
      <c r="G46" s="46"/>
      <c r="H46" s="46"/>
      <c r="I46" s="46">
        <f t="shared" si="97"/>
        <v>0</v>
      </c>
      <c r="J46" s="46"/>
      <c r="K46" s="46"/>
      <c r="L46" s="46"/>
      <c r="M46" s="328"/>
      <c r="N46" s="328"/>
      <c r="O46" s="46"/>
      <c r="P46" s="328"/>
      <c r="Q46" s="5481"/>
      <c r="R46" s="924">
        <f t="shared" si="16"/>
        <v>0</v>
      </c>
      <c r="S46" s="924">
        <f t="shared" si="17"/>
        <v>0</v>
      </c>
      <c r="T46" s="2744">
        <f t="shared" si="18"/>
        <v>0</v>
      </c>
      <c r="U46" s="1827"/>
      <c r="V46" s="46"/>
      <c r="W46" s="46"/>
      <c r="X46" s="46"/>
      <c r="Y46" s="328"/>
      <c r="Z46" s="328"/>
      <c r="AA46" s="46"/>
      <c r="AB46" s="328"/>
      <c r="AC46" s="360"/>
    </row>
    <row r="47" spans="1:35">
      <c r="A47" s="4878">
        <v>2</v>
      </c>
      <c r="B47" s="4879" t="s">
        <v>209</v>
      </c>
      <c r="C47" s="4893">
        <f>SUM(D47:E47)</f>
        <v>10664978.794711081</v>
      </c>
      <c r="D47" s="4893">
        <f>+'Phụ lục số 2'!F22</f>
        <v>3294440.4</v>
      </c>
      <c r="E47" s="4893">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5483">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78"/>
      <c r="B48" s="4879" t="s">
        <v>234</v>
      </c>
      <c r="C48" s="4894"/>
      <c r="D48" s="4894"/>
      <c r="E48" s="4894"/>
      <c r="F48" s="46"/>
      <c r="G48" s="46"/>
      <c r="H48" s="46"/>
      <c r="I48" s="46"/>
      <c r="J48" s="46"/>
      <c r="K48" s="46"/>
      <c r="L48" s="1653"/>
      <c r="M48" s="1653"/>
      <c r="N48" s="1653"/>
      <c r="O48" s="2283">
        <f t="shared" ref="O48:O50" si="98">SUM(P48:Q48)</f>
        <v>0</v>
      </c>
      <c r="P48" s="5165"/>
      <c r="Q48" s="5484"/>
      <c r="R48" s="924">
        <f t="shared" si="16"/>
        <v>0</v>
      </c>
      <c r="S48" s="924">
        <f t="shared" si="17"/>
        <v>0</v>
      </c>
      <c r="T48" s="2744">
        <f t="shared" si="18"/>
        <v>0</v>
      </c>
      <c r="U48" s="1827"/>
      <c r="V48" s="46"/>
      <c r="W48" s="46"/>
      <c r="X48" s="297"/>
      <c r="Y48" s="297"/>
      <c r="Z48" s="297"/>
      <c r="AA48" s="328"/>
      <c r="AB48" s="328"/>
      <c r="AC48" s="360"/>
    </row>
    <row r="49" spans="1:29">
      <c r="A49" s="4890" t="s">
        <v>29</v>
      </c>
      <c r="B49" s="4891" t="s">
        <v>239</v>
      </c>
      <c r="C49" s="4895">
        <f>SUM(D49:E49)</f>
        <v>4797945.7831797441</v>
      </c>
      <c r="D49" s="4895">
        <f>+'Phụ lục số 2'!F23</f>
        <v>956676</v>
      </c>
      <c r="E49" s="4895">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85">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890" t="s">
        <v>29</v>
      </c>
      <c r="B50" s="4896" t="s">
        <v>241</v>
      </c>
      <c r="C50" s="4895">
        <f t="shared" ref="C50:C51" si="100">SUM(D50:E50)</f>
        <v>31218</v>
      </c>
      <c r="D50" s="4895">
        <f>+'Phụ lục số 2'!F24</f>
        <v>31218</v>
      </c>
      <c r="E50" s="4895">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85">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890" t="s">
        <v>29</v>
      </c>
      <c r="B51" s="4891" t="s">
        <v>240</v>
      </c>
      <c r="C51" s="4895">
        <f t="shared" si="100"/>
        <v>5835815.0115313362</v>
      </c>
      <c r="D51" s="4895">
        <f>D47-D49-D50</f>
        <v>2306546.4</v>
      </c>
      <c r="E51" s="4895">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20">
        <f t="shared" ref="L51" si="107">SUM(M51:N51)</f>
        <v>7099504.2197785098</v>
      </c>
      <c r="M51" s="5320">
        <f>M47-M49-M50</f>
        <v>2648783.1495892932</v>
      </c>
      <c r="N51" s="5320">
        <f t="shared" ref="N51" si="108">N47-N49-N50</f>
        <v>4450721.0701892162</v>
      </c>
      <c r="O51" s="5320">
        <f t="shared" ref="O51" si="109">SUM(P51:Q51)</f>
        <v>7352322.9586298354</v>
      </c>
      <c r="P51" s="5320">
        <f>P47-P49-P50</f>
        <v>2757783.1209352897</v>
      </c>
      <c r="Q51" s="5486">
        <f>Q47-Q49-Q50</f>
        <v>4594539.8376945462</v>
      </c>
      <c r="R51" s="924">
        <f t="shared" si="16"/>
        <v>21322664.628408346</v>
      </c>
      <c r="S51" s="924">
        <f t="shared" si="17"/>
        <v>7948841.3635245822</v>
      </c>
      <c r="T51" s="2744">
        <f t="shared" si="18"/>
        <v>13373823.264883764</v>
      </c>
      <c r="U51" s="4872">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897">
        <v>3</v>
      </c>
      <c r="B52" s="4898" t="s">
        <v>210</v>
      </c>
      <c r="C52" s="4899"/>
      <c r="D52" s="4899"/>
      <c r="E52" s="4899"/>
      <c r="F52" s="46"/>
      <c r="G52" s="46"/>
      <c r="H52" s="46"/>
      <c r="I52" s="46"/>
      <c r="J52" s="46"/>
      <c r="K52" s="46"/>
      <c r="L52" s="2283"/>
      <c r="M52" s="5165"/>
      <c r="N52" s="5165"/>
      <c r="O52" s="297"/>
      <c r="P52" s="297"/>
      <c r="Q52" s="5487"/>
      <c r="R52" s="924">
        <f t="shared" si="16"/>
        <v>0</v>
      </c>
      <c r="S52" s="924">
        <f t="shared" si="17"/>
        <v>0</v>
      </c>
      <c r="T52" s="2744">
        <f t="shared" si="18"/>
        <v>0</v>
      </c>
      <c r="U52" s="1833"/>
      <c r="V52" s="297"/>
      <c r="W52" s="297"/>
      <c r="X52" s="297"/>
      <c r="Y52" s="297"/>
      <c r="Z52" s="297"/>
      <c r="AA52" s="328"/>
      <c r="AB52" s="328"/>
      <c r="AC52" s="360"/>
    </row>
    <row r="53" spans="1:29" s="31" customFormat="1">
      <c r="A53" s="4897">
        <v>4</v>
      </c>
      <c r="B53" s="4898" t="s">
        <v>176</v>
      </c>
      <c r="C53" s="4900">
        <f>SUM(D53:E53)</f>
        <v>717399.2</v>
      </c>
      <c r="D53" s="4900">
        <f>'Phụ lục số II'!F34</f>
        <v>79139.200000000012</v>
      </c>
      <c r="E53" s="4900">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1">
        <f>+'Phụ lục số 2'!U39</f>
        <v>202308.50969414107</v>
      </c>
      <c r="N53" s="4431">
        <f>+'Phụ lục số 2'!V39</f>
        <v>423808.64281757525</v>
      </c>
      <c r="O53" s="4431">
        <f>SUM(P53:Q53)</f>
        <v>789623.5261911191</v>
      </c>
      <c r="P53" s="4431">
        <f>+'Phụ lục số 2'!Z39</f>
        <v>394092.17037477036</v>
      </c>
      <c r="Q53" s="5483">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897">
        <v>5</v>
      </c>
      <c r="B54" s="4901" t="s">
        <v>212</v>
      </c>
      <c r="C54" s="4900">
        <f t="shared" ref="C54:C57" si="111">SUM(D54:E54)</f>
        <v>0</v>
      </c>
      <c r="D54" s="4899"/>
      <c r="E54" s="4899"/>
      <c r="F54" s="45">
        <f t="shared" ref="F54:F57" si="112">SUM(G54:H54)</f>
        <v>0</v>
      </c>
      <c r="G54" s="45"/>
      <c r="H54" s="45"/>
      <c r="I54" s="1653"/>
      <c r="J54" s="1653"/>
      <c r="K54" s="1653"/>
      <c r="L54" s="2283"/>
      <c r="M54" s="5165"/>
      <c r="N54" s="5165"/>
      <c r="O54" s="5165"/>
      <c r="P54" s="5165"/>
      <c r="Q54" s="5484"/>
      <c r="R54" s="924">
        <f t="shared" si="16"/>
        <v>0</v>
      </c>
      <c r="S54" s="924">
        <f t="shared" si="17"/>
        <v>0</v>
      </c>
      <c r="T54" s="2744">
        <f t="shared" si="18"/>
        <v>0</v>
      </c>
      <c r="U54" s="1833"/>
      <c r="V54" s="297"/>
      <c r="W54" s="297"/>
      <c r="X54" s="297"/>
      <c r="Y54" s="297"/>
      <c r="Z54" s="297"/>
      <c r="AA54" s="328"/>
      <c r="AB54" s="328"/>
      <c r="AC54" s="360"/>
    </row>
    <row r="55" spans="1:29" s="31" customFormat="1">
      <c r="A55" s="4897">
        <v>6</v>
      </c>
      <c r="B55" s="4902" t="s">
        <v>174</v>
      </c>
      <c r="C55" s="4900">
        <f t="shared" si="111"/>
        <v>2000</v>
      </c>
      <c r="D55" s="4900">
        <f>+'Phụ lục số 2'!F37</f>
        <v>2000</v>
      </c>
      <c r="E55" s="4900">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1">
        <f>+'Phụ lục số 2'!U37</f>
        <v>2000</v>
      </c>
      <c r="N55" s="4431">
        <f>+'Phụ lục số 2'!V37</f>
        <v>0</v>
      </c>
      <c r="O55" s="329">
        <f>SUM(P55:Q55)</f>
        <v>2000</v>
      </c>
      <c r="P55" s="4431">
        <f>+'Phụ lục số 2'!Z37</f>
        <v>2000</v>
      </c>
      <c r="Q55" s="5483">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03">
        <v>7</v>
      </c>
      <c r="B56" s="4902" t="s">
        <v>175</v>
      </c>
      <c r="C56" s="4900">
        <f t="shared" si="111"/>
        <v>327868.79999999999</v>
      </c>
      <c r="D56" s="4900">
        <f>+'Phụ lục số 2'!F38</f>
        <v>152264.29999999999</v>
      </c>
      <c r="E56" s="4900">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1">
        <f>+'Phụ lục số 2'!U38</f>
        <v>168756.52231412186</v>
      </c>
      <c r="N56" s="4431">
        <f>+'Phụ lục số 2'!V38</f>
        <v>213613.1009426176</v>
      </c>
      <c r="O56" s="329">
        <f t="shared" ref="O56:O57" si="115">SUM(P56:Q56)</f>
        <v>395338.82020193478</v>
      </c>
      <c r="P56" s="4431">
        <f>+'Phụ lục số 2'!Z38</f>
        <v>175285.11017594975</v>
      </c>
      <c r="Q56" s="5483">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03">
        <v>8</v>
      </c>
      <c r="B57" s="4902" t="s">
        <v>213</v>
      </c>
      <c r="C57" s="4900">
        <f t="shared" si="111"/>
        <v>3000</v>
      </c>
      <c r="D57" s="4900">
        <f>+'Phụ lục số 2'!F36</f>
        <v>3000</v>
      </c>
      <c r="E57" s="4900">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1">
        <f>+'Phụ lục số 2'!U36</f>
        <v>3500</v>
      </c>
      <c r="N57" s="4431">
        <f>+'Phụ lục số 2'!V36</f>
        <v>0</v>
      </c>
      <c r="O57" s="329">
        <f t="shared" si="115"/>
        <v>3500</v>
      </c>
      <c r="P57" s="4431">
        <f>+'Phụ lục số 2'!Z36</f>
        <v>3500</v>
      </c>
      <c r="Q57" s="5483">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897" t="s">
        <v>33</v>
      </c>
      <c r="B58" s="4902"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71">
        <f t="shared" ref="Q58" si="123">SUM(Q59,Q62,Q65)</f>
        <v>254385</v>
      </c>
      <c r="R58" s="924">
        <f t="shared" si="16"/>
        <v>9110976</v>
      </c>
      <c r="S58" s="924">
        <f t="shared" si="17"/>
        <v>8347821</v>
      </c>
      <c r="T58" s="2744">
        <f t="shared" si="18"/>
        <v>763155</v>
      </c>
      <c r="U58" s="4871">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890">
        <v>1</v>
      </c>
      <c r="B59" s="4904"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81">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890" t="s">
        <v>99</v>
      </c>
      <c r="B60" s="4904"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81">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890" t="s">
        <v>101</v>
      </c>
      <c r="B61" s="4904"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81">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890">
        <v>2</v>
      </c>
      <c r="B62" s="4904"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81">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890" t="s">
        <v>99</v>
      </c>
      <c r="B63" s="4904"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81">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890" t="s">
        <v>101</v>
      </c>
      <c r="B64" s="4904"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81">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890">
        <v>3</v>
      </c>
      <c r="B65" s="4904"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81">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890" t="s">
        <v>99</v>
      </c>
      <c r="B66" s="4904"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81">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890" t="s">
        <v>101</v>
      </c>
      <c r="B67" s="4904"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81">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78" t="s">
        <v>182</v>
      </c>
      <c r="B68" s="4905" t="s">
        <v>181</v>
      </c>
      <c r="C68" s="4901">
        <f t="shared" si="151"/>
        <v>0</v>
      </c>
      <c r="D68" s="4901"/>
      <c r="E68" s="4901"/>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488">
        <f>+'Phụ lục số 2'!AA50</f>
        <v>0</v>
      </c>
      <c r="R68" s="911">
        <f t="shared" si="16"/>
        <v>0</v>
      </c>
      <c r="S68" s="911">
        <f t="shared" si="17"/>
        <v>0</v>
      </c>
      <c r="T68" s="5819">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78" t="s">
        <v>718</v>
      </c>
      <c r="B69" s="4879" t="s">
        <v>216</v>
      </c>
      <c r="C69" s="4901"/>
      <c r="D69" s="4901"/>
      <c r="E69" s="4901"/>
      <c r="F69" s="45">
        <f>SUM(G69:H69)</f>
        <v>0</v>
      </c>
      <c r="G69" s="45">
        <f>H18</f>
        <v>0</v>
      </c>
      <c r="H69" s="45"/>
      <c r="I69" s="911">
        <f>SUM(J69:K69)</f>
        <v>0</v>
      </c>
      <c r="J69" s="911">
        <f>K18</f>
        <v>0</v>
      </c>
      <c r="K69" s="911"/>
      <c r="L69" s="5317">
        <f>+M69+N69</f>
        <v>0</v>
      </c>
      <c r="M69" s="5317">
        <f>+N18</f>
        <v>0</v>
      </c>
      <c r="N69" s="5316"/>
      <c r="O69" s="5316">
        <f>+P69+Q69</f>
        <v>0</v>
      </c>
      <c r="P69" s="5317">
        <f>+Q18</f>
        <v>0</v>
      </c>
      <c r="Q69" s="5489"/>
      <c r="R69" s="911">
        <f t="shared" si="16"/>
        <v>0</v>
      </c>
      <c r="S69" s="911">
        <f t="shared" si="17"/>
        <v>0</v>
      </c>
      <c r="T69" s="5819">
        <f t="shared" si="18"/>
        <v>0</v>
      </c>
      <c r="U69" s="5821"/>
      <c r="V69" s="5822"/>
      <c r="W69" s="5822"/>
      <c r="X69" s="5822"/>
      <c r="Y69" s="5822"/>
      <c r="Z69" s="5822"/>
      <c r="AA69" s="5823"/>
      <c r="AB69" s="5823"/>
      <c r="AC69" s="5824"/>
    </row>
    <row r="70" spans="1:29" s="49" customFormat="1" ht="17.399999999999999">
      <c r="A70" s="611" t="s">
        <v>744</v>
      </c>
      <c r="B70" s="1923" t="s">
        <v>3233</v>
      </c>
      <c r="C70" s="4901"/>
      <c r="D70" s="4901"/>
      <c r="E70" s="4901"/>
      <c r="F70" s="45"/>
      <c r="G70" s="45"/>
      <c r="H70" s="45"/>
      <c r="I70" s="911">
        <f>SUM(J70:K70)</f>
        <v>5553.7960000000003</v>
      </c>
      <c r="J70" s="911">
        <f>+'Phụ lục số 2'!P51</f>
        <v>5553.7960000000003</v>
      </c>
      <c r="K70" s="911">
        <f>+'Phụ lục số 2'!Q51</f>
        <v>0</v>
      </c>
      <c r="L70" s="5316">
        <f>+M70+N70</f>
        <v>0</v>
      </c>
      <c r="M70" s="5316">
        <f>+'Phụ lục số 2'!U51</f>
        <v>0</v>
      </c>
      <c r="N70" s="5316">
        <f>+'Phụ lục số 2'!V51</f>
        <v>0</v>
      </c>
      <c r="O70" s="5316">
        <f>+P70+Q70</f>
        <v>0</v>
      </c>
      <c r="P70" s="5317">
        <f>+'Phụ lục số 2'!Z51</f>
        <v>0</v>
      </c>
      <c r="Q70" s="5490">
        <f>+'Phụ lục số 2'!AA51</f>
        <v>0</v>
      </c>
      <c r="R70" s="911">
        <f t="shared" si="16"/>
        <v>5553.7960000000003</v>
      </c>
      <c r="S70" s="911">
        <f t="shared" si="17"/>
        <v>5553.7960000000003</v>
      </c>
      <c r="T70" s="5819">
        <f t="shared" si="18"/>
        <v>0</v>
      </c>
      <c r="U70" s="5825"/>
      <c r="V70" s="5825"/>
      <c r="W70" s="5825"/>
      <c r="X70" s="5825"/>
      <c r="Y70" s="5825"/>
      <c r="Z70" s="5825"/>
      <c r="AA70" s="5826"/>
      <c r="AB70" s="5826"/>
      <c r="AC70" s="5827"/>
    </row>
    <row r="71" spans="1:29" s="2923" customFormat="1" ht="17.399999999999999">
      <c r="A71" s="4888" t="s">
        <v>44</v>
      </c>
      <c r="B71" s="4906" t="s">
        <v>217</v>
      </c>
      <c r="C71" s="5184">
        <f>SUM(D71:E71)</f>
        <v>0.20528892055153847</v>
      </c>
      <c r="D71" s="5184">
        <f>D8-D33</f>
        <v>5083323.1000000015</v>
      </c>
      <c r="E71" s="5184">
        <f>E8-E33</f>
        <v>-5083322.8947110809</v>
      </c>
      <c r="F71" s="2699">
        <f>G71+H71</f>
        <v>-362040.51107581146</v>
      </c>
      <c r="G71" s="2699">
        <f>G8-G33</f>
        <v>5096221.7236352693</v>
      </c>
      <c r="H71" s="2699">
        <f>H8-H33</f>
        <v>-5458262.2347110808</v>
      </c>
      <c r="I71" s="2699">
        <f>J71+K71</f>
        <v>0</v>
      </c>
      <c r="J71" s="5442">
        <f>J8-J33-J72</f>
        <v>7078351.9069999978</v>
      </c>
      <c r="K71" s="5442">
        <f>K8-K33-K72</f>
        <v>-7078351.9070000034</v>
      </c>
      <c r="L71" s="2706">
        <f>M71+N71</f>
        <v>-8.7682530283927917E-4</v>
      </c>
      <c r="M71" s="2706">
        <f>M8-M33</f>
        <v>7078351.9064375646</v>
      </c>
      <c r="N71" s="2706">
        <f>N8-N33</f>
        <v>-7078351.9073143899</v>
      </c>
      <c r="O71" s="2706">
        <f>P71+Q71</f>
        <v>1.939261332154274E-3</v>
      </c>
      <c r="P71" s="2706">
        <f>P8-P33</f>
        <v>7078351.9096501376</v>
      </c>
      <c r="Q71" s="5491">
        <f>Q8-Q33</f>
        <v>-7078351.9077108763</v>
      </c>
      <c r="R71" s="911">
        <f t="shared" si="16"/>
        <v>1.0624304413795471E-3</v>
      </c>
      <c r="S71" s="911">
        <f t="shared" si="17"/>
        <v>21235055.723087698</v>
      </c>
      <c r="T71" s="5819">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888" t="s">
        <v>46</v>
      </c>
      <c r="B72" s="4907" t="s">
        <v>347</v>
      </c>
      <c r="C72" s="5184"/>
      <c r="D72" s="5184"/>
      <c r="E72" s="5184"/>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491">
        <f>+'Phụ lục số 2'!AA52</f>
        <v>0</v>
      </c>
      <c r="R72" s="911">
        <f t="shared" si="16"/>
        <v>186700</v>
      </c>
      <c r="S72" s="911">
        <f t="shared" si="17"/>
        <v>186700</v>
      </c>
      <c r="T72" s="5819">
        <f t="shared" si="18"/>
        <v>0</v>
      </c>
      <c r="U72" s="4866"/>
      <c r="V72" s="4866"/>
      <c r="W72" s="4866"/>
      <c r="X72" s="4866"/>
      <c r="Y72" s="4866"/>
      <c r="Z72" s="4866"/>
      <c r="AA72" s="4866"/>
      <c r="AB72" s="4866"/>
      <c r="AC72" s="4867"/>
    </row>
    <row r="73" spans="1:29" s="31" customFormat="1" thickBot="1">
      <c r="A73" s="5828"/>
      <c r="B73" s="5829"/>
      <c r="C73" s="5829"/>
      <c r="D73" s="5829"/>
      <c r="E73" s="5829"/>
      <c r="F73" s="5830"/>
      <c r="G73" s="5830"/>
      <c r="H73" s="5830"/>
      <c r="I73" s="5603"/>
      <c r="J73" s="5603"/>
      <c r="K73" s="5603"/>
      <c r="L73" s="5829"/>
      <c r="M73" s="5829"/>
      <c r="N73" s="5829"/>
      <c r="O73" s="5829"/>
      <c r="P73" s="5829"/>
      <c r="Q73" s="5831"/>
      <c r="R73" s="5832">
        <f t="shared" si="16"/>
        <v>0</v>
      </c>
      <c r="S73" s="5832">
        <f t="shared" si="17"/>
        <v>0</v>
      </c>
      <c r="T73" s="5833">
        <f t="shared" si="18"/>
        <v>0</v>
      </c>
      <c r="U73" s="5834"/>
      <c r="V73" s="5835"/>
      <c r="W73" s="5835"/>
      <c r="X73" s="5835"/>
      <c r="Y73" s="5835"/>
      <c r="Z73" s="5835"/>
      <c r="AA73" s="5835"/>
      <c r="AB73" s="5835"/>
      <c r="AC73" s="5836"/>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39"/>
      <c r="B78" s="672"/>
      <c r="C78" s="672"/>
      <c r="D78" s="672"/>
      <c r="E78" s="672"/>
      <c r="F78" s="672"/>
      <c r="G78" s="672"/>
      <c r="H78" s="672"/>
      <c r="I78" s="6092" t="s">
        <v>746</v>
      </c>
      <c r="J78" s="6092"/>
      <c r="K78" s="6092"/>
      <c r="L78" s="6089" t="s">
        <v>747</v>
      </c>
      <c r="M78" s="6090"/>
      <c r="N78" s="6091"/>
      <c r="O78" s="6089" t="s">
        <v>748</v>
      </c>
      <c r="P78" s="6090"/>
      <c r="Q78" s="6091"/>
      <c r="R78" s="1921"/>
      <c r="S78" s="1921"/>
      <c r="T78" s="1921"/>
      <c r="U78" s="6089" t="s">
        <v>749</v>
      </c>
      <c r="V78" s="6090"/>
      <c r="W78" s="6091"/>
      <c r="X78" s="6089" t="s">
        <v>750</v>
      </c>
      <c r="Y78" s="6090"/>
      <c r="Z78" s="6091"/>
      <c r="AA78" s="6089" t="s">
        <v>751</v>
      </c>
      <c r="AB78" s="6090"/>
      <c r="AC78" s="6091"/>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069" t="s">
        <v>230</v>
      </c>
      <c r="B1" s="6069"/>
      <c r="C1" s="6069"/>
      <c r="D1" s="6069"/>
      <c r="E1" s="6069"/>
      <c r="F1" s="6069"/>
      <c r="G1" s="6069"/>
      <c r="H1" s="6069"/>
      <c r="I1" s="6069"/>
      <c r="J1" s="6069"/>
      <c r="K1" s="6069"/>
    </row>
    <row r="2" spans="1:26" ht="14.4">
      <c r="A2" s="6095" t="s">
        <v>231</v>
      </c>
      <c r="B2" s="6095"/>
      <c r="C2" s="6095"/>
      <c r="D2" s="6095"/>
      <c r="E2" s="6095"/>
      <c r="F2" s="6095"/>
      <c r="G2" s="6095"/>
      <c r="H2" s="6095"/>
      <c r="I2" s="6095"/>
      <c r="J2" s="6095"/>
      <c r="K2" s="6095"/>
    </row>
    <row r="3" spans="1:26">
      <c r="A3" s="6096">
        <f>'Phụ lục số III-CĐC'!A3:K3</f>
        <v>0</v>
      </c>
      <c r="B3" s="6096"/>
      <c r="C3" s="6096"/>
      <c r="D3" s="6096"/>
      <c r="E3" s="6096"/>
      <c r="F3" s="6096"/>
      <c r="G3" s="6096"/>
      <c r="H3" s="6096"/>
      <c r="I3" s="6096"/>
      <c r="J3" s="6096"/>
      <c r="K3" s="6096"/>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097" t="s">
        <v>200</v>
      </c>
      <c r="B6" s="6099" t="s">
        <v>201</v>
      </c>
      <c r="C6" s="6101" t="s">
        <v>219</v>
      </c>
      <c r="D6" s="6101"/>
      <c r="E6" s="6101"/>
      <c r="F6" s="6101" t="s">
        <v>223</v>
      </c>
      <c r="G6" s="6101"/>
      <c r="H6" s="6102"/>
      <c r="I6" s="6093" t="s">
        <v>224</v>
      </c>
      <c r="J6" s="6093"/>
      <c r="K6" s="6093"/>
      <c r="L6" s="6093" t="s">
        <v>225</v>
      </c>
      <c r="M6" s="6093"/>
      <c r="N6" s="6093"/>
      <c r="O6" s="6093" t="s">
        <v>226</v>
      </c>
      <c r="P6" s="6093"/>
      <c r="Q6" s="6093"/>
      <c r="R6" s="6093" t="s">
        <v>227</v>
      </c>
      <c r="S6" s="6093"/>
      <c r="T6" s="6093"/>
      <c r="U6" s="6093" t="s">
        <v>228</v>
      </c>
      <c r="V6" s="6093"/>
      <c r="W6" s="6093"/>
      <c r="X6" s="6093" t="s">
        <v>229</v>
      </c>
      <c r="Y6" s="6093"/>
      <c r="Z6" s="6094"/>
    </row>
    <row r="7" spans="1:26">
      <c r="A7" s="6098"/>
      <c r="B7" s="6100"/>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092" t="s">
        <v>746</v>
      </c>
      <c r="J69" s="6092"/>
      <c r="K69" s="6092"/>
      <c r="L69" s="6089" t="s">
        <v>747</v>
      </c>
      <c r="M69" s="6090"/>
      <c r="N69" s="6091"/>
      <c r="O69" s="6089" t="s">
        <v>748</v>
      </c>
      <c r="P69" s="6090"/>
      <c r="Q69" s="6091"/>
      <c r="R69" s="6089" t="s">
        <v>749</v>
      </c>
      <c r="S69" s="6090"/>
      <c r="T69" s="6091"/>
      <c r="U69" s="6089" t="s">
        <v>750</v>
      </c>
      <c r="V69" s="6090"/>
      <c r="W69" s="6091"/>
      <c r="X69" s="6089" t="s">
        <v>751</v>
      </c>
      <c r="Y69" s="6090"/>
      <c r="Z69" s="6091"/>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37" t="s">
        <v>247</v>
      </c>
    </row>
  </sheetData>
  <hyperlinks>
    <hyperlink ref="A6" location="'Danh mục file'!A1" display="S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38" t="s">
        <v>136</v>
      </c>
    </row>
  </sheetData>
  <hyperlinks>
    <hyperlink ref="A6" location="'Danh mục file'!A1" display="Số TT"/>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abSelected="1" topLeftCell="A7" zoomScale="80" zoomScaleNormal="80" workbookViewId="0">
      <selection activeCell="A3" sqref="A3"/>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082" t="s">
        <v>3172</v>
      </c>
      <c r="B1" s="6082"/>
      <c r="C1" s="6082"/>
      <c r="D1" s="6082"/>
      <c r="E1" s="6082"/>
      <c r="F1" s="6082"/>
      <c r="G1" s="6082"/>
      <c r="H1" s="6082"/>
      <c r="I1" s="6082"/>
      <c r="J1" s="6082"/>
      <c r="K1" s="6082"/>
    </row>
    <row r="2" spans="1:13">
      <c r="A2" s="6524" t="s">
        <v>3286</v>
      </c>
      <c r="B2" s="6260"/>
      <c r="C2" s="6260"/>
      <c r="D2" s="6260"/>
      <c r="E2" s="6260"/>
      <c r="F2" s="6260"/>
      <c r="G2" s="6260"/>
      <c r="H2" s="6260"/>
      <c r="I2" s="6260"/>
      <c r="J2" s="6260"/>
      <c r="K2" s="6260"/>
    </row>
    <row r="4" spans="1:13" ht="18.600000000000001" thickBot="1">
      <c r="J4" s="6574" t="s">
        <v>638</v>
      </c>
      <c r="K4" s="6574"/>
    </row>
    <row r="5" spans="1:13" ht="18.600000000000001" thickTop="1">
      <c r="A5" s="6563" t="s">
        <v>136</v>
      </c>
      <c r="B5" s="6571" t="s">
        <v>3137</v>
      </c>
      <c r="C5" s="6087" t="s">
        <v>54</v>
      </c>
      <c r="D5" s="6505" t="s">
        <v>186</v>
      </c>
      <c r="E5" s="6505"/>
      <c r="F5" s="6505"/>
      <c r="G5" s="6505"/>
      <c r="H5" s="6505"/>
      <c r="I5" s="6505"/>
      <c r="J5" s="6505"/>
      <c r="K5" s="6575"/>
    </row>
    <row r="6" spans="1:13" ht="192.6" customHeight="1">
      <c r="A6" s="6564"/>
      <c r="B6" s="6295"/>
      <c r="C6" s="6088"/>
      <c r="D6" s="4852" t="s">
        <v>805</v>
      </c>
      <c r="E6" s="4852" t="str">
        <f>+'Phụ lục số 10'!E6</f>
        <v>Kinh phí hỗ trợ địa phương sản xuất lúa</v>
      </c>
      <c r="F6" s="4853" t="s">
        <v>807</v>
      </c>
      <c r="G6" s="4853" t="s">
        <v>3254</v>
      </c>
      <c r="H6" s="6039" t="s">
        <v>3156</v>
      </c>
      <c r="I6" s="6039" t="s">
        <v>3155</v>
      </c>
      <c r="J6" s="6040" t="s">
        <v>3223</v>
      </c>
      <c r="K6" s="5170" t="s">
        <v>3234</v>
      </c>
    </row>
    <row r="7" spans="1:13">
      <c r="A7" s="4854">
        <v>1</v>
      </c>
      <c r="B7" s="2738">
        <v>2</v>
      </c>
      <c r="C7" s="2738" t="s">
        <v>3255</v>
      </c>
      <c r="D7" s="2738">
        <v>4</v>
      </c>
      <c r="E7" s="2738">
        <v>5</v>
      </c>
      <c r="F7" s="2738">
        <v>6</v>
      </c>
      <c r="G7" s="2738">
        <v>7</v>
      </c>
      <c r="H7" s="2738">
        <v>8</v>
      </c>
      <c r="I7" s="2738">
        <v>9</v>
      </c>
      <c r="J7" s="2738">
        <v>10</v>
      </c>
      <c r="K7" s="2739">
        <v>11</v>
      </c>
    </row>
    <row r="8" spans="1:13" ht="36" customHeight="1">
      <c r="A8" s="4855">
        <v>1</v>
      </c>
      <c r="B8" s="388" t="s">
        <v>811</v>
      </c>
      <c r="C8" s="4856">
        <f>SUM(D8:K8)</f>
        <v>59762.99</v>
      </c>
      <c r="D8" s="4856">
        <f>+'Phụ lục số 10'!D8</f>
        <v>14893.36</v>
      </c>
      <c r="E8" s="4856">
        <f>+'Phụ lục số 10'!E8</f>
        <v>15250</v>
      </c>
      <c r="F8" s="4856">
        <f>+'Phụ lục số 10'!F8</f>
        <v>24715</v>
      </c>
      <c r="G8" s="4856">
        <f>+'Phụ lục số 10'!G8</f>
        <v>1229</v>
      </c>
      <c r="H8" s="4856">
        <f>+'Phụ lục số 10'!H8</f>
        <v>986.43</v>
      </c>
      <c r="I8" s="4856">
        <f>+'Phụ lục số 10'!I8</f>
        <v>0</v>
      </c>
      <c r="J8" s="4857">
        <f>+'Phụ lục số 10'!J8</f>
        <v>0</v>
      </c>
      <c r="K8" s="5188">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58">
        <f t="shared" si="0"/>
        <v>82476.471999999994</v>
      </c>
      <c r="D19" s="4858">
        <f>+'Phụ lục số 10'!D19</f>
        <v>12728.220000000001</v>
      </c>
      <c r="E19" s="4858">
        <f>+'Phụ lục số 10'!E19</f>
        <v>16750</v>
      </c>
      <c r="F19" s="4858">
        <f>+'Phụ lục số 10'!F19</f>
        <v>25747</v>
      </c>
      <c r="G19" s="4858">
        <f>+'Phụ lục số 10'!G19</f>
        <v>859</v>
      </c>
      <c r="H19" s="4858">
        <f>+'Phụ lục số 10'!H19</f>
        <v>948.78</v>
      </c>
      <c r="I19" s="4858">
        <f>+'Phụ lục số 10'!I19</f>
        <v>22450</v>
      </c>
      <c r="J19" s="4859">
        <f>+'Phụ lục số 10'!J19</f>
        <v>0</v>
      </c>
      <c r="K19" s="5189">
        <f>+'Phụ lục số 10'!K19</f>
        <v>2993.4720000000002</v>
      </c>
    </row>
    <row r="20" spans="1:11" ht="36" customHeight="1" thickBot="1">
      <c r="A20" s="6572" t="s">
        <v>1538</v>
      </c>
      <c r="B20" s="6573"/>
      <c r="C20" s="5393">
        <f>SUM(C8:C19)</f>
        <v>965959.90700000001</v>
      </c>
      <c r="D20" s="5393">
        <f t="shared" ref="D20:H20" si="1">SUM(D8:D19)</f>
        <v>211211.59</v>
      </c>
      <c r="E20" s="5393">
        <f t="shared" si="1"/>
        <v>265647</v>
      </c>
      <c r="F20" s="5393">
        <f>SUM(F8:F19)</f>
        <v>293472.76800000004</v>
      </c>
      <c r="G20" s="5393">
        <f>SUM(G8:G19)</f>
        <v>11626</v>
      </c>
      <c r="H20" s="5393">
        <f t="shared" si="1"/>
        <v>11295</v>
      </c>
      <c r="I20" s="5393">
        <f>SUM(I8:I19)</f>
        <v>129670</v>
      </c>
      <c r="J20" s="5393">
        <f>SUM(J8:J19)</f>
        <v>852</v>
      </c>
      <c r="K20" s="5395">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election activeCell="A3" sqref="A3"/>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c r="A1" s="6111" t="str">
        <f>+'Phụ lục số 6'!A1:E1</f>
        <v>DỰ TOÁN CHI NGÂN SÁCH CHO MỘT SỐ CHƯƠNG TRÌNH, DỰ ÁN, NHIỆM VỤ KHÁC QUAN TRỌNG NĂM 2025</v>
      </c>
      <c r="B1" s="6499"/>
      <c r="C1" s="6499"/>
      <c r="D1" s="6499"/>
      <c r="E1" s="6499"/>
    </row>
    <row r="2" spans="1:5">
      <c r="A2" s="6514" t="str">
        <f>+'Biểu 56-CK-NSNN'!A2:K2</f>
        <v>(Kèm theo Quyết định số  1230 /QĐ-UBND-HC ngày 19/12/2024 của Uỷ ban nhân dân tỉnh Đồng Tháp)</v>
      </c>
      <c r="B2" s="6500"/>
      <c r="C2" s="6500"/>
      <c r="D2" s="6500"/>
      <c r="E2" s="6500"/>
    </row>
    <row r="3" spans="1:5">
      <c r="A3" s="431"/>
      <c r="B3" s="2635"/>
      <c r="C3" s="2635"/>
      <c r="D3" s="2635"/>
      <c r="E3" s="2635"/>
    </row>
    <row r="4" spans="1:5" ht="18.600000000000001" thickBot="1">
      <c r="B4" s="6577" t="s">
        <v>638</v>
      </c>
      <c r="C4" s="6577"/>
      <c r="D4" s="6577"/>
      <c r="E4" s="6577"/>
    </row>
    <row r="5" spans="1:5" s="431" customFormat="1" thickTop="1">
      <c r="A5" s="6563" t="s">
        <v>247</v>
      </c>
      <c r="B5" s="6521" t="s">
        <v>1123</v>
      </c>
      <c r="C5" s="6521" t="s">
        <v>1455</v>
      </c>
      <c r="D5" s="6521" t="s">
        <v>998</v>
      </c>
      <c r="E5" s="6578"/>
    </row>
    <row r="6" spans="1:5" s="431" customFormat="1" ht="34.799999999999997">
      <c r="A6" s="6564"/>
      <c r="B6" s="6046"/>
      <c r="C6" s="6046"/>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058" t="s">
        <v>1411</v>
      </c>
      <c r="B1" s="6058"/>
      <c r="C1" s="6058"/>
      <c r="D1" s="6058"/>
      <c r="E1" s="6058"/>
      <c r="F1" s="6058"/>
      <c r="G1" s="6058"/>
      <c r="H1" s="6058"/>
      <c r="I1" s="6058"/>
      <c r="J1" s="6058"/>
      <c r="K1" s="6058"/>
      <c r="L1" s="6058"/>
      <c r="M1" s="6058"/>
      <c r="N1" s="6058"/>
      <c r="O1" s="6058"/>
      <c r="P1" s="6058"/>
      <c r="Q1" s="6058"/>
      <c r="R1" s="6058"/>
      <c r="S1" s="6058"/>
      <c r="T1" s="6058"/>
      <c r="U1" s="6058"/>
      <c r="V1" s="6058"/>
    </row>
    <row r="2" spans="1:70">
      <c r="A2" s="6058" t="s">
        <v>1412</v>
      </c>
      <c r="B2" s="6058"/>
      <c r="C2" s="6058"/>
      <c r="D2" s="6058"/>
      <c r="E2" s="6058"/>
      <c r="F2" s="6058"/>
      <c r="G2" s="6058"/>
      <c r="H2" s="6058"/>
      <c r="I2" s="6058"/>
      <c r="J2" s="6058"/>
      <c r="K2" s="6058"/>
      <c r="L2" s="6058"/>
      <c r="M2" s="6058"/>
      <c r="N2" s="6058"/>
      <c r="O2" s="6058"/>
      <c r="P2" s="6058"/>
      <c r="Q2" s="6058"/>
      <c r="R2" s="6058"/>
      <c r="S2" s="6058"/>
      <c r="T2" s="6058"/>
      <c r="U2" s="6058"/>
      <c r="V2" s="6058"/>
    </row>
    <row r="3" spans="1:70">
      <c r="A3" s="6579" t="s">
        <v>3277</v>
      </c>
      <c r="B3" s="6579"/>
      <c r="C3" s="6579"/>
      <c r="D3" s="6579"/>
      <c r="E3" s="6579"/>
      <c r="F3" s="6579"/>
      <c r="G3" s="6579"/>
      <c r="H3" s="6579"/>
      <c r="I3" s="6579"/>
      <c r="J3" s="6579"/>
      <c r="K3" s="6579"/>
      <c r="L3" s="6579"/>
      <c r="M3" s="6579"/>
      <c r="N3" s="6579"/>
      <c r="O3" s="6579"/>
      <c r="P3" s="6579"/>
      <c r="Q3" s="6579"/>
      <c r="R3" s="6579"/>
      <c r="S3" s="6579"/>
      <c r="T3" s="6579"/>
      <c r="U3" s="6579"/>
      <c r="V3" s="6579"/>
    </row>
    <row r="4" spans="1:70">
      <c r="R4" s="6"/>
      <c r="T4" s="1704"/>
      <c r="V4" s="3189">
        <f>+V10-'Phụ lục số 7.1'!J9</f>
        <v>0</v>
      </c>
      <c r="AA4" s="6"/>
    </row>
    <row r="5" spans="1:70" ht="16.2" thickBot="1">
      <c r="D5" s="1700"/>
      <c r="J5" s="5948">
        <f>410000-J51</f>
        <v>0.43058333400404081</v>
      </c>
      <c r="K5" s="6"/>
      <c r="M5" s="6"/>
      <c r="N5" s="6"/>
      <c r="Q5" s="1704"/>
      <c r="R5" s="1704"/>
      <c r="S5" s="1704"/>
      <c r="T5" s="6531" t="s">
        <v>246</v>
      </c>
      <c r="U5" s="6531"/>
      <c r="V5" s="6531"/>
      <c r="Z5" s="6"/>
      <c r="AA5" s="6"/>
    </row>
    <row r="6" spans="1:70" ht="16.2" thickTop="1">
      <c r="A6" s="6532" t="s">
        <v>0</v>
      </c>
      <c r="B6" s="6534" t="s">
        <v>49</v>
      </c>
      <c r="C6" s="6535" t="s">
        <v>50</v>
      </c>
      <c r="D6" s="6535"/>
      <c r="E6" s="6535"/>
      <c r="F6" s="6535"/>
      <c r="G6" s="6535"/>
      <c r="H6" s="6535"/>
      <c r="I6" s="6535"/>
      <c r="J6" s="6529" t="s">
        <v>120</v>
      </c>
      <c r="K6" s="6529"/>
      <c r="L6" s="6529"/>
      <c r="M6" s="6529"/>
      <c r="N6" s="6529"/>
      <c r="O6" s="6529"/>
      <c r="P6" s="6529"/>
      <c r="Q6" s="6529" t="s">
        <v>121</v>
      </c>
      <c r="R6" s="6529"/>
      <c r="S6" s="6529"/>
      <c r="T6" s="6529"/>
      <c r="U6" s="6529"/>
      <c r="V6" s="6530"/>
      <c r="W6" s="6226" t="s">
        <v>125</v>
      </c>
      <c r="X6" s="6067"/>
      <c r="Y6" s="6067"/>
      <c r="Z6" s="6067"/>
      <c r="AA6" s="6067"/>
      <c r="AB6" s="6067"/>
      <c r="AC6" s="6067" t="s">
        <v>126</v>
      </c>
      <c r="AD6" s="6067"/>
      <c r="AE6" s="6067"/>
      <c r="AF6" s="6067"/>
      <c r="AG6" s="6067"/>
      <c r="AH6" s="6067"/>
      <c r="AI6" s="6067" t="s">
        <v>127</v>
      </c>
      <c r="AJ6" s="6067"/>
      <c r="AK6" s="6067"/>
      <c r="AL6" s="6067"/>
      <c r="AM6" s="6067"/>
      <c r="AN6" s="6067"/>
      <c r="AO6" s="6067" t="s">
        <v>128</v>
      </c>
      <c r="AP6" s="6067"/>
      <c r="AQ6" s="6067"/>
      <c r="AR6" s="6067"/>
      <c r="AS6" s="6067"/>
      <c r="AT6" s="6067"/>
      <c r="AU6" s="6067" t="s">
        <v>129</v>
      </c>
      <c r="AV6" s="6067"/>
      <c r="AW6" s="6067"/>
      <c r="AX6" s="6067"/>
      <c r="AY6" s="6067"/>
      <c r="AZ6" s="6067"/>
    </row>
    <row r="7" spans="1:70">
      <c r="A7" s="6533"/>
      <c r="B7" s="6063"/>
      <c r="C7" s="6063" t="s">
        <v>51</v>
      </c>
      <c r="D7" s="6063"/>
      <c r="E7" s="6063" t="s">
        <v>52</v>
      </c>
      <c r="F7" s="6063" t="s">
        <v>53</v>
      </c>
      <c r="G7" s="6063" t="s">
        <v>124</v>
      </c>
      <c r="H7" s="6063"/>
      <c r="I7" s="6063"/>
      <c r="J7" s="6066" t="s">
        <v>51</v>
      </c>
      <c r="K7" s="6068" t="s">
        <v>122</v>
      </c>
      <c r="L7" s="6068"/>
      <c r="M7" s="6063" t="s">
        <v>53</v>
      </c>
      <c r="N7" s="6063" t="s">
        <v>124</v>
      </c>
      <c r="O7" s="6063"/>
      <c r="P7" s="6063"/>
      <c r="Q7" s="6066" t="s">
        <v>51</v>
      </c>
      <c r="R7" s="6066" t="s">
        <v>123</v>
      </c>
      <c r="S7" s="6063" t="s">
        <v>53</v>
      </c>
      <c r="T7" s="6063" t="s">
        <v>124</v>
      </c>
      <c r="U7" s="6063"/>
      <c r="V7" s="6528"/>
      <c r="W7" s="6527" t="s">
        <v>51</v>
      </c>
      <c r="X7" s="6066" t="s">
        <v>131</v>
      </c>
      <c r="Y7" s="6063" t="s">
        <v>53</v>
      </c>
      <c r="Z7" s="6063" t="s">
        <v>124</v>
      </c>
      <c r="AA7" s="6063"/>
      <c r="AB7" s="6063"/>
      <c r="AC7" s="6066" t="s">
        <v>51</v>
      </c>
      <c r="AD7" s="6066" t="s">
        <v>132</v>
      </c>
      <c r="AE7" s="6063" t="s">
        <v>53</v>
      </c>
      <c r="AF7" s="6063" t="s">
        <v>124</v>
      </c>
      <c r="AG7" s="6063"/>
      <c r="AH7" s="6063"/>
      <c r="AI7" s="6066" t="s">
        <v>51</v>
      </c>
      <c r="AJ7" s="6066" t="s">
        <v>133</v>
      </c>
      <c r="AK7" s="6063" t="s">
        <v>53</v>
      </c>
      <c r="AL7" s="6063" t="s">
        <v>124</v>
      </c>
      <c r="AM7" s="6063"/>
      <c r="AN7" s="6063"/>
      <c r="AO7" s="6066" t="s">
        <v>51</v>
      </c>
      <c r="AP7" s="6066" t="s">
        <v>130</v>
      </c>
      <c r="AQ7" s="6063" t="s">
        <v>53</v>
      </c>
      <c r="AR7" s="6063" t="s">
        <v>124</v>
      </c>
      <c r="AS7" s="6063"/>
      <c r="AT7" s="6063"/>
      <c r="AU7" s="6066" t="s">
        <v>51</v>
      </c>
      <c r="AV7" s="6066" t="s">
        <v>134</v>
      </c>
      <c r="AW7" s="6063" t="s">
        <v>53</v>
      </c>
      <c r="AX7" s="6063" t="s">
        <v>124</v>
      </c>
      <c r="AY7" s="6063"/>
      <c r="AZ7" s="6063"/>
      <c r="BI7" s="6058" t="s">
        <v>1841</v>
      </c>
      <c r="BJ7" s="6058"/>
      <c r="BK7" s="6058"/>
      <c r="BL7" s="6058"/>
      <c r="BM7" s="6058"/>
    </row>
    <row r="8" spans="1:70" ht="31.2">
      <c r="A8" s="6533"/>
      <c r="B8" s="6063"/>
      <c r="C8" s="755" t="s">
        <v>119</v>
      </c>
      <c r="D8" s="755" t="s">
        <v>118</v>
      </c>
      <c r="E8" s="6065"/>
      <c r="F8" s="6065"/>
      <c r="G8" s="1538" t="s">
        <v>54</v>
      </c>
      <c r="H8" s="1538" t="s">
        <v>55</v>
      </c>
      <c r="I8" s="130" t="s">
        <v>56</v>
      </c>
      <c r="J8" s="6066"/>
      <c r="K8" s="755" t="s">
        <v>119</v>
      </c>
      <c r="L8" s="755" t="s">
        <v>118</v>
      </c>
      <c r="M8" s="6066"/>
      <c r="N8" s="1538" t="s">
        <v>54</v>
      </c>
      <c r="O8" s="1538" t="s">
        <v>55</v>
      </c>
      <c r="P8" s="130" t="s">
        <v>56</v>
      </c>
      <c r="Q8" s="6066"/>
      <c r="R8" s="6066"/>
      <c r="S8" s="6066"/>
      <c r="T8" s="1538" t="s">
        <v>54</v>
      </c>
      <c r="U8" s="1538" t="s">
        <v>55</v>
      </c>
      <c r="V8" s="5529" t="s">
        <v>56</v>
      </c>
      <c r="W8" s="6527"/>
      <c r="X8" s="6066"/>
      <c r="Y8" s="6066"/>
      <c r="Z8" s="1538" t="s">
        <v>54</v>
      </c>
      <c r="AA8" s="1538" t="s">
        <v>55</v>
      </c>
      <c r="AB8" s="130" t="s">
        <v>56</v>
      </c>
      <c r="AC8" s="6066"/>
      <c r="AD8" s="6066"/>
      <c r="AE8" s="6066"/>
      <c r="AF8" s="1538" t="s">
        <v>54</v>
      </c>
      <c r="AG8" s="1538" t="s">
        <v>55</v>
      </c>
      <c r="AH8" s="130" t="s">
        <v>56</v>
      </c>
      <c r="AI8" s="6066"/>
      <c r="AJ8" s="6066"/>
      <c r="AK8" s="6066"/>
      <c r="AL8" s="1538" t="s">
        <v>54</v>
      </c>
      <c r="AM8" s="1538" t="s">
        <v>55</v>
      </c>
      <c r="AN8" s="130" t="s">
        <v>56</v>
      </c>
      <c r="AO8" s="6066"/>
      <c r="AP8" s="6066"/>
      <c r="AQ8" s="6066"/>
      <c r="AR8" s="1538" t="s">
        <v>54</v>
      </c>
      <c r="AS8" s="1538" t="s">
        <v>55</v>
      </c>
      <c r="AT8" s="130" t="s">
        <v>56</v>
      </c>
      <c r="AU8" s="6066"/>
      <c r="AV8" s="6066"/>
      <c r="AW8" s="6066"/>
      <c r="AX8" s="1538" t="s">
        <v>54</v>
      </c>
      <c r="AY8" s="1538" t="s">
        <v>55</v>
      </c>
      <c r="AZ8" s="130" t="s">
        <v>56</v>
      </c>
      <c r="BI8" s="851" t="s">
        <v>1464</v>
      </c>
      <c r="BJ8" s="851" t="s">
        <v>1837</v>
      </c>
      <c r="BK8" s="851" t="s">
        <v>1838</v>
      </c>
      <c r="BL8" s="851" t="s">
        <v>1839</v>
      </c>
      <c r="BM8" s="851" t="s">
        <v>1840</v>
      </c>
      <c r="BQ8" s="1" t="s">
        <v>87</v>
      </c>
    </row>
    <row r="9" spans="1:70">
      <c r="A9" s="5530">
        <v>1</v>
      </c>
      <c r="B9" s="133">
        <v>2</v>
      </c>
      <c r="C9" s="133"/>
      <c r="D9" s="133"/>
      <c r="E9" s="133"/>
      <c r="F9" s="133"/>
      <c r="G9" s="133"/>
      <c r="H9" s="133"/>
      <c r="I9" s="133"/>
      <c r="J9" s="10"/>
      <c r="K9" s="10"/>
      <c r="L9" s="10"/>
      <c r="M9" s="10"/>
      <c r="N9" s="10"/>
      <c r="O9" s="10"/>
      <c r="P9" s="10"/>
      <c r="Q9" s="10"/>
      <c r="R9" s="134"/>
      <c r="S9" s="10"/>
      <c r="T9" s="10"/>
      <c r="U9" s="10"/>
      <c r="V9" s="5531"/>
      <c r="W9" s="5518"/>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32"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33">
        <f>+V11+V51+V56</f>
        <v>3732300</v>
      </c>
      <c r="W10" s="5519">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34"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35">
        <f>SUM(V13+V19+V25+V30+V36+V37+V38+V39+V40+V41+V42+V43+V44+V45+V46+V47+V49+V50)</f>
        <v>3732300</v>
      </c>
      <c r="W11" s="5520">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37">
        <f>V11-V42-V50-V47</f>
        <v>2638800</v>
      </c>
      <c r="W12" s="5521">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39">
        <f t="shared" si="18"/>
        <v>0</v>
      </c>
      <c r="W13" s="5522">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38"/>
      <c r="B14" s="1716" t="s">
        <v>7</v>
      </c>
      <c r="C14" s="152">
        <v>170000</v>
      </c>
      <c r="D14" s="152">
        <f>C14</f>
        <v>170000</v>
      </c>
      <c r="E14" s="153"/>
      <c r="F14" s="154"/>
      <c r="G14" s="154">
        <f>SUM(H14:I14)</f>
        <v>170000</v>
      </c>
      <c r="H14" s="154">
        <f>D14-F14-I14</f>
        <v>170000</v>
      </c>
      <c r="I14" s="154"/>
      <c r="J14" s="5420">
        <v>165389.4</v>
      </c>
      <c r="K14" s="155"/>
      <c r="L14" s="155"/>
      <c r="M14" s="1680"/>
      <c r="N14" s="1680">
        <f>SUM(O14:P14)</f>
        <v>165389.4</v>
      </c>
      <c r="O14" s="1680">
        <f>J14-M14-P14</f>
        <v>165389.4</v>
      </c>
      <c r="P14" s="1680"/>
      <c r="Q14" s="157">
        <f>173500-4000</f>
        <v>169500</v>
      </c>
      <c r="R14" s="199"/>
      <c r="S14" s="199"/>
      <c r="T14" s="1681">
        <f>SUM(U14:V14)</f>
        <v>169500</v>
      </c>
      <c r="U14" s="5913">
        <f>Q14-S14-V14</f>
        <v>169500</v>
      </c>
      <c r="V14" s="5540"/>
      <c r="W14" s="5523">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38"/>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13">
        <f t="shared" ref="U15:U18" si="30">Q15-S15-V15</f>
        <v>35000</v>
      </c>
      <c r="V15" s="5540"/>
      <c r="W15" s="5523">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38"/>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40"/>
      <c r="W16" s="5523">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38"/>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40"/>
      <c r="W17" s="5523">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38"/>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40"/>
      <c r="W18" s="5523"/>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38">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41">
        <f t="shared" si="49"/>
        <v>0</v>
      </c>
      <c r="W19" s="5524">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38"/>
      <c r="B20" s="1716" t="s">
        <v>7</v>
      </c>
      <c r="C20" s="152">
        <f>110000</f>
        <v>110000</v>
      </c>
      <c r="D20" s="152">
        <f>C20</f>
        <v>110000</v>
      </c>
      <c r="E20" s="153"/>
      <c r="F20" s="154"/>
      <c r="G20" s="154">
        <f>SUM(H20:I20)</f>
        <v>110000</v>
      </c>
      <c r="H20" s="154">
        <f t="shared" si="26"/>
        <v>110000</v>
      </c>
      <c r="I20" s="154"/>
      <c r="J20" s="5419">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40"/>
      <c r="W20" s="5523">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38"/>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40"/>
      <c r="W21" s="5523">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38"/>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40"/>
      <c r="W22" s="5523"/>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38"/>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40"/>
      <c r="W23" s="5523">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38"/>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40"/>
      <c r="W24" s="5523"/>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38">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41">
        <f t="shared" si="82"/>
        <v>0</v>
      </c>
      <c r="W25" s="5524">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38"/>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40"/>
      <c r="W26" s="5523">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38"/>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40"/>
      <c r="W27" s="5523">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38"/>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40"/>
      <c r="W28" s="5523"/>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38"/>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40"/>
      <c r="W29" s="5523"/>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38">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41">
        <f t="shared" si="116"/>
        <v>1477000</v>
      </c>
      <c r="W30" s="5524">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38"/>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42">
        <f>'Phụ lục số 7'!E10</f>
        <v>757000</v>
      </c>
      <c r="W31" s="5523">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38"/>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42">
        <f>'Phụ lục số 7'!E11</f>
        <v>720000</v>
      </c>
      <c r="W32" s="5523">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38"/>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13">
        <f t="shared" si="133"/>
        <v>28650</v>
      </c>
      <c r="V33" s="5542">
        <f>'Phụ lục số 7'!E12</f>
        <v>0</v>
      </c>
      <c r="W33" s="5523">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38"/>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13">
        <f t="shared" si="133"/>
        <v>44350</v>
      </c>
      <c r="V34" s="5542">
        <f>'Phụ lục số 7'!E13</f>
        <v>0</v>
      </c>
      <c r="W34" s="5523">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38"/>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42">
        <f>'Phụ lục số 7'!E14</f>
        <v>0</v>
      </c>
      <c r="W35" s="5523"/>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38">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41">
        <f>'Phụ lục số 7'!E18</f>
        <v>330000</v>
      </c>
      <c r="W36" s="5524">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293">
        <f t="shared" ref="BL36:BL51" si="155">+O36-H36</f>
        <v>0</v>
      </c>
      <c r="BM36" s="5293">
        <f>+P36-I36</f>
        <v>-37000</v>
      </c>
      <c r="BN36" s="4"/>
      <c r="BQ36" s="6">
        <f>+'Biểu số 1'!AZ36</f>
        <v>299939</v>
      </c>
      <c r="BR36" s="816">
        <f t="shared" ref="BR36:BR51" si="156">+J36/BQ36-100%</f>
        <v>4.3545520922587677E-2</v>
      </c>
    </row>
    <row r="37" spans="1:70">
      <c r="A37" s="5538">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40">
        <f>'Phụ lục số 7'!E19</f>
        <v>0</v>
      </c>
      <c r="W37" s="5524">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293">
        <f t="shared" si="155"/>
        <v>0</v>
      </c>
      <c r="BM37" s="5293">
        <f t="shared" ref="BM37:BM51" si="166">+P37-I37</f>
        <v>13</v>
      </c>
      <c r="BN37" s="4"/>
      <c r="BQ37" s="6">
        <f>+'Biểu số 1'!AZ37</f>
        <v>342</v>
      </c>
      <c r="BR37" s="816">
        <f t="shared" si="156"/>
        <v>-0.96198830409356728</v>
      </c>
    </row>
    <row r="38" spans="1:70">
      <c r="A38" s="5538">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41">
        <f>'Phụ lục số 7'!E20</f>
        <v>17000</v>
      </c>
      <c r="W38" s="5524">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293">
        <f t="shared" si="155"/>
        <v>0</v>
      </c>
      <c r="BM38" s="5293">
        <f t="shared" si="166"/>
        <v>3918</v>
      </c>
      <c r="BN38" s="4"/>
      <c r="BQ38" s="6">
        <f>+'Biểu số 1'!AZ38</f>
        <v>17533</v>
      </c>
      <c r="BR38" s="816">
        <f t="shared" si="156"/>
        <v>7.8993897222380705E-2</v>
      </c>
    </row>
    <row r="39" spans="1:70" ht="16.8">
      <c r="A39" s="5538">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41">
        <f>'Phụ lục số 7'!E15</f>
        <v>353000</v>
      </c>
      <c r="W39" s="5524">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293">
        <f t="shared" si="155"/>
        <v>-5500</v>
      </c>
      <c r="BM39" s="5293">
        <f t="shared" si="166"/>
        <v>-4500</v>
      </c>
      <c r="BN39" s="4"/>
      <c r="BQ39" s="6">
        <f>+'Biểu số 1'!AZ39</f>
        <v>694807</v>
      </c>
      <c r="BR39" s="816">
        <f t="shared" si="156"/>
        <v>3.6258989906549521E-2</v>
      </c>
    </row>
    <row r="40" spans="1:70" ht="16.8">
      <c r="A40" s="5538">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40"/>
      <c r="W40" s="5524">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293">
        <f>+O40-H40</f>
        <v>-69000</v>
      </c>
      <c r="BM40" s="5293">
        <f t="shared" si="166"/>
        <v>0</v>
      </c>
      <c r="BN40" s="4"/>
      <c r="BQ40" s="6">
        <f>+'Biểu số 1'!AZ40</f>
        <v>946183</v>
      </c>
      <c r="BR40" s="816">
        <f t="shared" si="156"/>
        <v>4.0341033394173387E-3</v>
      </c>
    </row>
    <row r="41" spans="1:70" ht="16.8">
      <c r="A41" s="5538">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41">
        <f>'Phụ lục số 7'!E24</f>
        <v>72400</v>
      </c>
      <c r="W41" s="5524">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293">
        <f t="shared" si="155"/>
        <v>15805.470588235286</v>
      </c>
      <c r="BM41" s="5293">
        <f t="shared" si="166"/>
        <v>2195</v>
      </c>
      <c r="BN41" s="4"/>
      <c r="BQ41" s="6">
        <f>+'Biểu số 1'!AZ41</f>
        <v>154887</v>
      </c>
      <c r="BR41" s="816">
        <f t="shared" si="156"/>
        <v>0.14922491881177891</v>
      </c>
    </row>
    <row r="42" spans="1:70" ht="16.8">
      <c r="A42" s="5538">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41">
        <f>'Phụ lục số 7'!E28</f>
        <v>1093500</v>
      </c>
      <c r="W42" s="5524">
        <v>1800000</v>
      </c>
      <c r="X42" s="141">
        <f t="shared" si="160"/>
        <v>112.5</v>
      </c>
      <c r="Y42" s="157"/>
      <c r="Z42" s="142">
        <f t="shared" si="134"/>
        <v>1800000</v>
      </c>
      <c r="AA42" s="142">
        <f t="shared" si="135"/>
        <v>540000</v>
      </c>
      <c r="AB42" s="5307">
        <f>(1400000)-(1400000*10%)</f>
        <v>1260000</v>
      </c>
      <c r="AC42" s="142">
        <v>1800000</v>
      </c>
      <c r="AD42" s="142">
        <f t="shared" si="161"/>
        <v>100</v>
      </c>
      <c r="AE42" s="157"/>
      <c r="AF42" s="142">
        <f t="shared" si="136"/>
        <v>1800000</v>
      </c>
      <c r="AG42" s="142">
        <f t="shared" si="137"/>
        <v>540000</v>
      </c>
      <c r="AH42" s="5307">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293">
        <f t="shared" si="155"/>
        <v>0</v>
      </c>
      <c r="BM42" s="5293">
        <f t="shared" si="166"/>
        <v>0</v>
      </c>
      <c r="BN42" s="4"/>
      <c r="BQ42" s="6">
        <f>+'Biểu số 1'!AZ42</f>
        <v>1157443</v>
      </c>
      <c r="BR42" s="816">
        <f t="shared" si="156"/>
        <v>0.52923297302761352</v>
      </c>
    </row>
    <row r="43" spans="1:70">
      <c r="A43" s="5538">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43">
        <f>'Phụ lục số 7'!E25</f>
        <v>180900</v>
      </c>
      <c r="W43" s="5524">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293">
        <f t="shared" si="155"/>
        <v>-21900</v>
      </c>
      <c r="BM43" s="5293">
        <f>+P43-I43</f>
        <v>-53100</v>
      </c>
      <c r="BN43" s="4"/>
      <c r="BQ43" s="6">
        <f>+'Biểu số 1'!AZ43</f>
        <v>118474</v>
      </c>
      <c r="BR43" s="816">
        <f t="shared" si="156"/>
        <v>1.025760926447997</v>
      </c>
    </row>
    <row r="44" spans="1:70">
      <c r="A44" s="5538">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44"/>
      <c r="W44" s="5523"/>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293">
        <f t="shared" si="155"/>
        <v>0</v>
      </c>
      <c r="BM44" s="5293">
        <f t="shared" si="166"/>
        <v>0</v>
      </c>
      <c r="BN44" s="4"/>
      <c r="BQ44" s="6">
        <f>+'Biểu số 1'!AZ44</f>
        <v>33</v>
      </c>
      <c r="BR44" s="816">
        <f t="shared" si="156"/>
        <v>-1</v>
      </c>
    </row>
    <row r="45" spans="1:70">
      <c r="A45" s="5538">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43">
        <f>'Phụ lục số 7'!E31</f>
        <v>206500</v>
      </c>
      <c r="W45" s="5524">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293">
        <f t="shared" si="155"/>
        <v>4969.926380368066</v>
      </c>
      <c r="BM45" s="5293">
        <f t="shared" si="166"/>
        <v>36000</v>
      </c>
      <c r="BN45" s="4"/>
      <c r="BQ45" s="6">
        <f>+'Biểu số 1'!AZ45</f>
        <v>377228</v>
      </c>
      <c r="BR45" s="816">
        <f t="shared" si="156"/>
        <v>2.5904757865269801E-2</v>
      </c>
    </row>
    <row r="46" spans="1:70">
      <c r="A46" s="5538">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40"/>
      <c r="W46" s="5524">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293">
        <f t="shared" si="155"/>
        <v>13056.666666666664</v>
      </c>
      <c r="BM46" s="5293">
        <f t="shared" si="166"/>
        <v>0</v>
      </c>
      <c r="BN46" s="4"/>
      <c r="BQ46" s="6">
        <f>+'Biểu số 1'!AZ46</f>
        <v>52181</v>
      </c>
      <c r="BR46" s="816">
        <f t="shared" si="156"/>
        <v>-0.17594526743450678</v>
      </c>
    </row>
    <row r="47" spans="1:70" s="204" customFormat="1" ht="16.2">
      <c r="A47" s="5538">
        <v>16</v>
      </c>
      <c r="B47" s="147" t="s">
        <v>3118</v>
      </c>
      <c r="C47" s="166">
        <f>37000+C48</f>
        <v>37000</v>
      </c>
      <c r="D47" s="166">
        <f>37000+D48</f>
        <v>445054.16200000001</v>
      </c>
      <c r="E47" s="167"/>
      <c r="F47" s="149"/>
      <c r="G47" s="149">
        <f t="shared" si="178"/>
        <v>445054.16200000001</v>
      </c>
      <c r="H47" s="168">
        <f>D47-F47-I47</f>
        <v>445054.16200000001</v>
      </c>
      <c r="I47" s="149"/>
      <c r="J47" s="147">
        <f>26068+J48</f>
        <v>434122.16200000001</v>
      </c>
      <c r="K47" s="5294">
        <f t="shared" si="169"/>
        <v>1173.3031405405407</v>
      </c>
      <c r="L47" s="5167">
        <f>J47/D47*100</f>
        <v>97.543669752267135</v>
      </c>
      <c r="M47" s="5168">
        <f>F47*L47/100</f>
        <v>0</v>
      </c>
      <c r="N47" s="5168">
        <f t="shared" si="176"/>
        <v>434122.16200000001</v>
      </c>
      <c r="O47" s="5168">
        <f t="shared" si="177"/>
        <v>434122.16200000001</v>
      </c>
      <c r="P47" s="5168">
        <f>I47*L47/100</f>
        <v>0</v>
      </c>
      <c r="Q47" s="147">
        <f>33000+Q48</f>
        <v>33000</v>
      </c>
      <c r="R47" s="5295">
        <f>Q47/J47*100</f>
        <v>7.6015469581117587</v>
      </c>
      <c r="S47" s="5296"/>
      <c r="T47" s="5168">
        <f t="shared" ref="T47" si="179">SUM(U47:V47)</f>
        <v>33000</v>
      </c>
      <c r="U47" s="5168">
        <f t="shared" ref="U47" si="180">Q47-S47-V47</f>
        <v>33000</v>
      </c>
      <c r="V47" s="5545"/>
      <c r="W47" s="5522">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297">
        <f t="shared" si="153"/>
        <v>-10932</v>
      </c>
      <c r="BJ47" s="1729">
        <f t="shared" si="154"/>
        <v>0</v>
      </c>
      <c r="BK47" s="1729">
        <f t="shared" si="165"/>
        <v>-10932</v>
      </c>
      <c r="BL47" s="5293">
        <f>+O47-H47</f>
        <v>-10932</v>
      </c>
      <c r="BM47" s="5293">
        <f t="shared" si="166"/>
        <v>0</v>
      </c>
      <c r="BN47" s="738"/>
      <c r="BQ47" s="5298">
        <f>+'Biểu số 1'!AZ47</f>
        <v>80341</v>
      </c>
      <c r="BR47" s="5299">
        <f t="shared" si="156"/>
        <v>4.4034946291432773</v>
      </c>
    </row>
    <row r="48" spans="1:70">
      <c r="A48" s="5546"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47"/>
      <c r="W48" s="5523"/>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293">
        <f t="shared" si="155"/>
        <v>0</v>
      </c>
      <c r="BM48" s="5293">
        <f t="shared" si="166"/>
        <v>0</v>
      </c>
      <c r="BQ48" s="1">
        <v>0</v>
      </c>
      <c r="BR48" s="816" t="e">
        <f t="shared" si="156"/>
        <v>#DIV/0!</v>
      </c>
    </row>
    <row r="49" spans="1:70">
      <c r="A49" s="5538">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48">
        <f>'Phụ lục số 7'!E35</f>
        <v>2000</v>
      </c>
      <c r="W49" s="5524">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293">
        <f t="shared" si="155"/>
        <v>0</v>
      </c>
      <c r="BM49" s="5293">
        <f t="shared" si="166"/>
        <v>0</v>
      </c>
      <c r="BN49" s="4"/>
      <c r="BQ49" s="6">
        <f>+'Biểu số 1'!AZ49</f>
        <v>2116</v>
      </c>
      <c r="BR49" s="816">
        <f t="shared" si="156"/>
        <v>-5.4820415879016982E-2</v>
      </c>
    </row>
    <row r="50" spans="1:70">
      <c r="A50" s="5538">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47"/>
      <c r="W50" s="5524">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293">
        <f t="shared" si="155"/>
        <v>200000</v>
      </c>
      <c r="BM50" s="5293">
        <f t="shared" si="166"/>
        <v>0</v>
      </c>
      <c r="BN50" s="4"/>
      <c r="BQ50" s="6">
        <f>+'Biểu số 1'!AZ50</f>
        <v>2017388</v>
      </c>
      <c r="BR50" s="816">
        <f t="shared" si="156"/>
        <v>6.5734504220308576E-2</v>
      </c>
    </row>
    <row r="51" spans="1:70" s="5302" customFormat="1">
      <c r="A51" s="5534"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11">
        <f t="shared" si="169"/>
        <v>261.146222558386</v>
      </c>
      <c r="L51" s="5412">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13">
        <f t="shared" si="151"/>
        <v>121.95134758589714</v>
      </c>
      <c r="S51" s="758">
        <f>SUM(S52:S55)</f>
        <v>500000</v>
      </c>
      <c r="T51" s="758">
        <f t="shared" ref="T51:V51" si="199">SUM(T52:T54)</f>
        <v>0</v>
      </c>
      <c r="U51" s="758">
        <f t="shared" si="199"/>
        <v>0</v>
      </c>
      <c r="V51" s="5549">
        <f t="shared" si="199"/>
        <v>0</v>
      </c>
      <c r="W51" s="5525">
        <f>SUM(W52:W54)</f>
        <v>287000</v>
      </c>
      <c r="X51" s="5414">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293">
        <f t="shared" si="155"/>
        <v>5.8207660913467407E-11</v>
      </c>
      <c r="BM51" s="5293">
        <f t="shared" si="166"/>
        <v>0</v>
      </c>
      <c r="BN51" s="739"/>
      <c r="BQ51" s="5415">
        <f>+'Biểu số 1'!AZ51</f>
        <v>281887.67128599994</v>
      </c>
      <c r="BR51" s="5416">
        <f t="shared" si="156"/>
        <v>0.45447854298205614</v>
      </c>
    </row>
    <row r="52" spans="1:70">
      <c r="A52" s="5538"/>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47"/>
      <c r="W52" s="5523">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38"/>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47"/>
      <c r="W53" s="5523">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38"/>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47"/>
      <c r="W54" s="5523">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38"/>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47"/>
      <c r="W55" s="5523"/>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38" t="s">
        <v>182</v>
      </c>
      <c r="B56" s="165" t="s">
        <v>3231</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48"/>
      <c r="W56" s="5524"/>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35">
        <f t="shared" si="229"/>
        <v>0</v>
      </c>
      <c r="W57" s="5520">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02" customFormat="1">
      <c r="A58" s="5534" t="s">
        <v>3</v>
      </c>
      <c r="B58" s="1713" t="s">
        <v>39</v>
      </c>
      <c r="C58" s="173">
        <f>6487488+C59</f>
        <v>6617188</v>
      </c>
      <c r="D58" s="173">
        <f>6487488+D59</f>
        <v>6617188</v>
      </c>
      <c r="E58" s="176"/>
      <c r="F58" s="174"/>
      <c r="G58" s="174">
        <f>SUM(H58:I58)</f>
        <v>6617188</v>
      </c>
      <c r="H58" s="174">
        <f>D58-F58-I58</f>
        <v>6617188</v>
      </c>
      <c r="I58" s="174">
        <v>0</v>
      </c>
      <c r="J58" s="173">
        <f>6487488+J59</f>
        <v>6617188</v>
      </c>
      <c r="K58" s="5300"/>
      <c r="L58" s="5300"/>
      <c r="M58" s="5300"/>
      <c r="N58" s="173">
        <f>6487488+N59</f>
        <v>6617188</v>
      </c>
      <c r="O58" s="173">
        <f t="shared" ref="O58" si="230">6487488+O59</f>
        <v>6617188</v>
      </c>
      <c r="P58" s="173"/>
      <c r="Q58" s="173">
        <f>6617188+Q59</f>
        <v>6749488</v>
      </c>
      <c r="R58" s="5300"/>
      <c r="S58" s="5300"/>
      <c r="T58" s="758">
        <f>SUM(U58:V58)</f>
        <v>6749488</v>
      </c>
      <c r="U58" s="758">
        <f>Q58</f>
        <v>6749488</v>
      </c>
      <c r="V58" s="5549"/>
      <c r="W58" s="5520">
        <f>6617188+W59</f>
        <v>6749488</v>
      </c>
      <c r="X58" s="5301"/>
      <c r="Y58" s="5300"/>
      <c r="Z58" s="173">
        <f>SUM(AA58:AB58)</f>
        <v>6749488</v>
      </c>
      <c r="AA58" s="173">
        <f>+W58</f>
        <v>6749488</v>
      </c>
      <c r="AB58" s="173"/>
      <c r="AC58" s="173">
        <f>6617188+AC59</f>
        <v>6749488</v>
      </c>
      <c r="AD58" s="5300"/>
      <c r="AE58" s="5300"/>
      <c r="AF58" s="173">
        <f>SUM(AG58:AH58)</f>
        <v>6749488</v>
      </c>
      <c r="AG58" s="173">
        <f>+AC58</f>
        <v>6749488</v>
      </c>
      <c r="AH58" s="173"/>
      <c r="AI58" s="173">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row>
    <row r="59" spans="1:70" s="5" customFormat="1">
      <c r="A59" s="5550"/>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51"/>
      <c r="W59" s="5526">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34" t="s">
        <v>33</v>
      </c>
      <c r="B60" s="1928" t="s">
        <v>3187</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49"/>
      <c r="W60" s="5525">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34"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35">
        <f t="shared" si="235"/>
        <v>0</v>
      </c>
      <c r="W61" s="5520">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38">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52">
        <f t="shared" ref="V62" si="243">SUM(V63:V64)</f>
        <v>0</v>
      </c>
      <c r="W62" s="5527">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46"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51"/>
      <c r="W63" s="5526">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46"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51"/>
      <c r="W64" s="5526">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52">
        <f t="shared" ref="V65" si="259">SUM(V66:V67)</f>
        <v>0</v>
      </c>
      <c r="W65" s="5527">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46"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51"/>
      <c r="W66" s="5526">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46"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51"/>
      <c r="W67" s="5526">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38">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52">
        <f t="shared" ref="V68" si="270">SUM(V69:V70)</f>
        <v>0</v>
      </c>
      <c r="W68" s="5527">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46"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51"/>
      <c r="W69" s="5526">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46"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51"/>
      <c r="W70" s="5526">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34"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48">
        <f>+'Phụ lục số 7'!E40</f>
        <v>941000</v>
      </c>
      <c r="W71" s="5524">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34"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48"/>
      <c r="W72" s="5524">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5558">
        <f>SUM(V10,V57,V71,V72)</f>
        <v>4673300</v>
      </c>
      <c r="W73" s="5528">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14">
        <f>+T14+T15+T16+T20+T21+T22+T26+T27+T31+T32+T33+T40+T28+T39+6450</f>
        <v>3925600</v>
      </c>
      <c r="U77" s="5914">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85">+U71+U60+U58+U10</f>
        <v>13849302.196</v>
      </c>
      <c r="V90" s="1729">
        <f t="shared" si="285"/>
        <v>4673300</v>
      </c>
      <c r="Z90" s="6"/>
      <c r="AF90" s="6"/>
      <c r="AL90" s="6"/>
      <c r="AR90" s="6"/>
      <c r="AX90" s="6"/>
    </row>
    <row r="91" spans="7:50">
      <c r="J91" s="5425">
        <f>+J90+J89</f>
        <v>9668054</v>
      </c>
      <c r="N91" s="6"/>
      <c r="Q91" s="1" t="s">
        <v>3259</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57" t="s">
        <v>1421</v>
      </c>
      <c r="N111" s="6057"/>
      <c r="O111" s="6057"/>
      <c r="P111" s="6057"/>
      <c r="S111" s="6059" t="s">
        <v>1423</v>
      </c>
      <c r="T111" s="6059"/>
      <c r="U111" s="6059"/>
      <c r="V111" s="6059"/>
      <c r="Y111" s="6057" t="s">
        <v>1426</v>
      </c>
      <c r="Z111" s="6057"/>
      <c r="AA111" s="6057"/>
      <c r="AB111" s="6057"/>
      <c r="AE111" s="6057" t="s">
        <v>1426</v>
      </c>
      <c r="AF111" s="6057"/>
      <c r="AG111" s="6057"/>
      <c r="AH111" s="6057"/>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57" t="s">
        <v>1422</v>
      </c>
      <c r="N119" s="6057"/>
      <c r="O119" s="6057"/>
      <c r="P119" s="6057"/>
      <c r="S119" s="6059" t="s">
        <v>1425</v>
      </c>
      <c r="T119" s="6059"/>
      <c r="U119" s="6059"/>
      <c r="V119" s="6059"/>
      <c r="Y119" s="6057" t="s">
        <v>1427</v>
      </c>
      <c r="Z119" s="6057"/>
      <c r="AA119" s="6057"/>
      <c r="AB119" s="6057"/>
      <c r="AE119" s="6057" t="s">
        <v>1427</v>
      </c>
      <c r="AF119" s="6057"/>
      <c r="AG119" s="6057"/>
      <c r="AH119" s="6057"/>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58" t="s">
        <v>1428</v>
      </c>
      <c r="N128" s="6058"/>
      <c r="O128" s="6058"/>
      <c r="P128" s="6058"/>
      <c r="S128" s="6058" t="s">
        <v>1429</v>
      </c>
      <c r="T128" s="6058"/>
      <c r="U128" s="6058"/>
      <c r="V128" s="6058"/>
      <c r="Y128" s="6058" t="s">
        <v>1429</v>
      </c>
      <c r="Z128" s="6058"/>
      <c r="AA128" s="6058"/>
      <c r="AB128" s="6058"/>
      <c r="AE128" s="6058" t="s">
        <v>1429</v>
      </c>
      <c r="AF128" s="6058"/>
      <c r="AG128" s="6058"/>
      <c r="AH128" s="6058"/>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058" t="s">
        <v>1415</v>
      </c>
      <c r="B1" s="6058"/>
      <c r="C1" s="6058"/>
      <c r="D1" s="6058"/>
      <c r="E1" s="6058"/>
      <c r="F1" s="6058"/>
      <c r="G1" s="6058"/>
      <c r="H1" s="6058"/>
      <c r="I1" s="6058"/>
      <c r="J1" s="6058"/>
      <c r="K1" s="6058"/>
      <c r="L1" s="6058"/>
      <c r="M1" s="6058"/>
      <c r="N1" s="6058"/>
      <c r="O1" s="6058"/>
      <c r="P1" s="6058"/>
      <c r="Q1" s="6058"/>
    </row>
    <row r="2" spans="1:58" s="1" customFormat="1" ht="15.6">
      <c r="A2" s="6058" t="s">
        <v>1416</v>
      </c>
      <c r="B2" s="6058"/>
      <c r="C2" s="6058"/>
      <c r="D2" s="6058"/>
      <c r="E2" s="6058"/>
      <c r="F2" s="6058"/>
      <c r="G2" s="6058"/>
      <c r="H2" s="6058"/>
      <c r="I2" s="6058"/>
      <c r="J2" s="6058"/>
      <c r="K2" s="6058"/>
      <c r="L2" s="6058"/>
      <c r="M2" s="6058"/>
      <c r="N2" s="6058"/>
      <c r="O2" s="6058"/>
      <c r="P2" s="6058"/>
      <c r="Q2" s="6058"/>
    </row>
    <row r="3" spans="1:58" s="1" customFormat="1" ht="15.6">
      <c r="A3" s="6579" t="str">
        <f>+'Phụ lục số 1'!A3:V3</f>
        <v>(Kèm theo Báo cáo số     462/BC-UBND ngày 22 tháng 11 năm 2024 của Ủy ban nhân dân tỉnh Đồng Tháp)</v>
      </c>
      <c r="B3" s="6579"/>
      <c r="C3" s="6579"/>
      <c r="D3" s="6579"/>
      <c r="E3" s="6579"/>
      <c r="F3" s="6579"/>
      <c r="G3" s="6579"/>
      <c r="H3" s="6579"/>
      <c r="I3" s="6579"/>
      <c r="J3" s="6579"/>
      <c r="K3" s="6579"/>
      <c r="L3" s="6579"/>
      <c r="M3" s="6579"/>
      <c r="N3" s="6579"/>
      <c r="O3" s="6579"/>
      <c r="P3" s="6579"/>
      <c r="Q3" s="6579"/>
    </row>
    <row r="4" spans="1:58" ht="14.4" thickBot="1">
      <c r="C4" s="2172"/>
      <c r="D4" s="1732"/>
      <c r="E4" s="32"/>
      <c r="H4" s="2194"/>
      <c r="I4" s="2195">
        <f>+H23/C23</f>
        <v>1.1805673046257137</v>
      </c>
      <c r="J4" s="2195">
        <f>+H23/D23</f>
        <v>1.1443970047408194</v>
      </c>
      <c r="K4" s="5427"/>
      <c r="L4" s="2194"/>
      <c r="M4" s="2196" t="s">
        <v>417</v>
      </c>
      <c r="N4" s="2195" t="s">
        <v>417</v>
      </c>
      <c r="O4" s="6539" t="s">
        <v>246</v>
      </c>
      <c r="P4" s="6540"/>
      <c r="Q4" s="6540"/>
      <c r="W4" s="32"/>
      <c r="AB4" s="32">
        <f>+AB11-W11</f>
        <v>131095.67231274373</v>
      </c>
      <c r="AH4" s="32">
        <f>+AG11-AB11</f>
        <v>135946.81832517032</v>
      </c>
      <c r="AM4" s="32">
        <f>+AL11-AG11</f>
        <v>148149.45423725364</v>
      </c>
    </row>
    <row r="5" spans="1:58" s="1735" customFormat="1" ht="15" customHeight="1" thickTop="1">
      <c r="A5" s="6541" t="s">
        <v>136</v>
      </c>
      <c r="B5" s="6543" t="s">
        <v>137</v>
      </c>
      <c r="C5" s="6544" t="s">
        <v>140</v>
      </c>
      <c r="D5" s="6545"/>
      <c r="E5" s="6545"/>
      <c r="F5" s="6545"/>
      <c r="G5" s="6546"/>
      <c r="H5" s="6547" t="s">
        <v>120</v>
      </c>
      <c r="I5" s="6547"/>
      <c r="J5" s="6547"/>
      <c r="K5" s="6547"/>
      <c r="L5" s="6547"/>
      <c r="M5" s="6547" t="s">
        <v>121</v>
      </c>
      <c r="N5" s="6547"/>
      <c r="O5" s="6547"/>
      <c r="P5" s="6547"/>
      <c r="Q5" s="6582"/>
      <c r="R5" s="6580" t="s">
        <v>187</v>
      </c>
      <c r="S5" s="6581"/>
      <c r="T5" s="6581"/>
      <c r="U5" s="6581"/>
      <c r="V5" s="6581"/>
      <c r="W5" s="6581" t="s">
        <v>188</v>
      </c>
      <c r="X5" s="6581"/>
      <c r="Y5" s="6581"/>
      <c r="Z5" s="6581"/>
      <c r="AA5" s="6581"/>
      <c r="AB5" s="6079" t="s">
        <v>189</v>
      </c>
      <c r="AC5" s="6079"/>
      <c r="AD5" s="6079"/>
      <c r="AE5" s="6079"/>
      <c r="AF5" s="6079"/>
      <c r="AG5" s="6079" t="s">
        <v>190</v>
      </c>
      <c r="AH5" s="6079"/>
      <c r="AI5" s="6079"/>
      <c r="AJ5" s="6079"/>
      <c r="AK5" s="6079"/>
      <c r="AL5" s="6079" t="s">
        <v>193</v>
      </c>
      <c r="AM5" s="6079"/>
      <c r="AN5" s="6079"/>
      <c r="AO5" s="6079"/>
      <c r="AP5" s="6079"/>
      <c r="BA5" s="6242" t="s">
        <v>3279</v>
      </c>
      <c r="BB5" s="6242"/>
      <c r="BC5" s="6242"/>
      <c r="BD5" s="6242"/>
      <c r="BE5" s="6242"/>
    </row>
    <row r="6" spans="1:58" s="29" customFormat="1" ht="15" customHeight="1">
      <c r="A6" s="6542"/>
      <c r="B6" s="6073"/>
      <c r="C6" s="6072" t="s">
        <v>119</v>
      </c>
      <c r="D6" s="6072" t="s">
        <v>118</v>
      </c>
      <c r="E6" s="6072" t="s">
        <v>69</v>
      </c>
      <c r="F6" s="6076" t="s">
        <v>186</v>
      </c>
      <c r="G6" s="6078"/>
      <c r="H6" s="6079" t="s">
        <v>59</v>
      </c>
      <c r="I6" s="6079" t="s">
        <v>69</v>
      </c>
      <c r="J6" s="6079" t="s">
        <v>1417</v>
      </c>
      <c r="K6" s="6079" t="s">
        <v>186</v>
      </c>
      <c r="L6" s="6079"/>
      <c r="M6" s="6079" t="s">
        <v>59</v>
      </c>
      <c r="N6" s="6079" t="s">
        <v>69</v>
      </c>
      <c r="O6" s="6079" t="s">
        <v>194</v>
      </c>
      <c r="P6" s="6079" t="s">
        <v>186</v>
      </c>
      <c r="Q6" s="6536"/>
      <c r="R6" s="6078" t="s">
        <v>59</v>
      </c>
      <c r="S6" s="6079" t="s">
        <v>69</v>
      </c>
      <c r="T6" s="6079" t="s">
        <v>195</v>
      </c>
      <c r="U6" s="6079" t="s">
        <v>186</v>
      </c>
      <c r="V6" s="6079"/>
      <c r="W6" s="6079" t="s">
        <v>59</v>
      </c>
      <c r="X6" s="6079" t="s">
        <v>69</v>
      </c>
      <c r="Y6" s="6079" t="s">
        <v>196</v>
      </c>
      <c r="Z6" s="6079" t="s">
        <v>186</v>
      </c>
      <c r="AA6" s="6079"/>
      <c r="AB6" s="6079" t="s">
        <v>59</v>
      </c>
      <c r="AC6" s="6079" t="s">
        <v>69</v>
      </c>
      <c r="AD6" s="6079" t="s">
        <v>197</v>
      </c>
      <c r="AE6" s="6079" t="s">
        <v>186</v>
      </c>
      <c r="AF6" s="6079"/>
      <c r="AG6" s="6079" t="s">
        <v>59</v>
      </c>
      <c r="AH6" s="6079" t="s">
        <v>69</v>
      </c>
      <c r="AI6" s="6079" t="s">
        <v>198</v>
      </c>
      <c r="AJ6" s="6079" t="s">
        <v>186</v>
      </c>
      <c r="AK6" s="6079"/>
      <c r="AL6" s="6079" t="s">
        <v>59</v>
      </c>
      <c r="AM6" s="6079" t="s">
        <v>69</v>
      </c>
      <c r="AN6" s="6079" t="s">
        <v>199</v>
      </c>
      <c r="AO6" s="6079" t="s">
        <v>186</v>
      </c>
      <c r="AP6" s="6079"/>
    </row>
    <row r="7" spans="1:58" s="29" customFormat="1" ht="60.6" customHeight="1">
      <c r="A7" s="6542"/>
      <c r="B7" s="6074"/>
      <c r="C7" s="6074"/>
      <c r="D7" s="6074"/>
      <c r="E7" s="6074"/>
      <c r="F7" s="1736" t="s">
        <v>138</v>
      </c>
      <c r="G7" s="1736" t="s">
        <v>139</v>
      </c>
      <c r="H7" s="6079"/>
      <c r="I7" s="6079"/>
      <c r="J7" s="6079"/>
      <c r="K7" s="1736" t="s">
        <v>138</v>
      </c>
      <c r="L7" s="1736" t="s">
        <v>139</v>
      </c>
      <c r="M7" s="6079"/>
      <c r="N7" s="6079"/>
      <c r="O7" s="6079"/>
      <c r="P7" s="1736" t="s">
        <v>138</v>
      </c>
      <c r="Q7" s="5574" t="s">
        <v>139</v>
      </c>
      <c r="R7" s="6078"/>
      <c r="S7" s="6079"/>
      <c r="T7" s="6079"/>
      <c r="U7" s="1736" t="s">
        <v>138</v>
      </c>
      <c r="V7" s="1736" t="s">
        <v>139</v>
      </c>
      <c r="W7" s="6079"/>
      <c r="X7" s="6079"/>
      <c r="Y7" s="6079"/>
      <c r="Z7" s="1736" t="s">
        <v>138</v>
      </c>
      <c r="AA7" s="1736" t="s">
        <v>139</v>
      </c>
      <c r="AB7" s="6079"/>
      <c r="AC7" s="6079"/>
      <c r="AD7" s="6079"/>
      <c r="AE7" s="1736" t="s">
        <v>138</v>
      </c>
      <c r="AF7" s="1736" t="s">
        <v>139</v>
      </c>
      <c r="AG7" s="6079"/>
      <c r="AH7" s="6079"/>
      <c r="AI7" s="6079"/>
      <c r="AJ7" s="1736" t="s">
        <v>138</v>
      </c>
      <c r="AK7" s="1736" t="s">
        <v>139</v>
      </c>
      <c r="AL7" s="6079"/>
      <c r="AM7" s="6079"/>
      <c r="AN7" s="6079"/>
      <c r="AO7" s="1736" t="s">
        <v>138</v>
      </c>
      <c r="AP7" s="1736" t="s">
        <v>139</v>
      </c>
      <c r="BB7" s="29" t="s">
        <v>3280</v>
      </c>
      <c r="BC7" s="29" t="s">
        <v>3281</v>
      </c>
    </row>
    <row r="8" spans="1:58" s="124" customFormat="1">
      <c r="A8" s="5575"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76">
        <f>Q9+Q40+Q50+Q51</f>
        <v>11751651.907000003</v>
      </c>
      <c r="R8" s="5559">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77"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09">
        <f>Q10+Q22+Q36+Q37+Q38+Q39</f>
        <v>11497266.907000003</v>
      </c>
      <c r="R9" s="5560">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77">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78">
        <f>+Q11+Q12+Q14+Q16+Q17</f>
        <v>1683500</v>
      </c>
      <c r="R10" s="5561">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79"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80">
        <f>+'Phụ lục số 8'!C8-Q51</f>
        <v>590000</v>
      </c>
      <c r="R11" s="5562">
        <f>SUM(U11:V11)</f>
        <v>1207212.043456913</v>
      </c>
      <c r="S11" s="1771">
        <f>R11/$R$8*100</f>
        <v>5.4115607068282614</v>
      </c>
      <c r="T11" s="1772">
        <f>R11/M11</f>
        <v>1.2485515864854462</v>
      </c>
      <c r="U11" s="5314">
        <f>P11*$U$56+186700+42595</f>
        <v>617212.04345691297</v>
      </c>
      <c r="V11" s="1584">
        <f>Q11</f>
        <v>590000</v>
      </c>
      <c r="W11" s="1584">
        <f>SUM(Z11:AA11)</f>
        <v>1338707.7565428363</v>
      </c>
      <c r="X11" s="1771">
        <f>W11/$W$8*100</f>
        <v>5.805773715331453</v>
      </c>
      <c r="Y11" s="1773">
        <f>W11/R11</f>
        <v>1.1089251170070991</v>
      </c>
      <c r="Z11" s="5315">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36">
        <v>0.15</v>
      </c>
      <c r="BB11" s="4802">
        <f>+AW11*M11</f>
        <v>145033.5</v>
      </c>
    </row>
    <row r="12" spans="1:58">
      <c r="A12" s="5579"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80">
        <f>+'Phụ lục số 8'!C9</f>
        <v>1093500</v>
      </c>
      <c r="R12" s="5562">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02">
        <v>385000</v>
      </c>
    </row>
    <row r="13" spans="1:58" s="29" customFormat="1" ht="69">
      <c r="A13" s="5581" t="s">
        <v>29</v>
      </c>
      <c r="B13" s="5231" t="s">
        <v>3265</v>
      </c>
      <c r="C13" s="5309"/>
      <c r="D13" s="196"/>
      <c r="E13" s="1766"/>
      <c r="F13" s="5309"/>
      <c r="G13" s="5309"/>
      <c r="H13" s="196"/>
      <c r="I13" s="1767"/>
      <c r="J13" s="1768"/>
      <c r="K13" s="196"/>
      <c r="L13" s="196"/>
      <c r="M13" s="4945">
        <f t="shared" si="9"/>
        <v>160000</v>
      </c>
      <c r="N13" s="1767"/>
      <c r="O13" s="1770"/>
      <c r="P13" s="4945">
        <f>M12*10%</f>
        <v>160000</v>
      </c>
      <c r="Q13" s="5582"/>
      <c r="R13" s="5563">
        <f>SUM(U13:V13)</f>
        <v>180000</v>
      </c>
      <c r="S13" s="4943"/>
      <c r="T13" s="4944"/>
      <c r="U13" s="1620">
        <f>+R12*10%</f>
        <v>180000</v>
      </c>
      <c r="V13" s="196"/>
      <c r="W13" s="1620">
        <f>SUM(Z13:AA13)</f>
        <v>180000</v>
      </c>
      <c r="X13" s="1767"/>
      <c r="Y13" s="5310"/>
      <c r="Z13" s="1620">
        <f>+W12*10%</f>
        <v>180000</v>
      </c>
      <c r="AA13" s="196"/>
      <c r="AB13" s="1620">
        <f>+AE13</f>
        <v>180000</v>
      </c>
      <c r="AC13" s="4943"/>
      <c r="AD13" s="5325"/>
      <c r="AE13" s="1620">
        <f>+AB12*10%</f>
        <v>180000</v>
      </c>
      <c r="AF13" s="196"/>
      <c r="AG13" s="1620">
        <f>+AJ13+AK13</f>
        <v>195000</v>
      </c>
      <c r="AH13" s="5326"/>
      <c r="AI13" s="5327"/>
      <c r="AJ13" s="1620">
        <f>+AG12*10%</f>
        <v>195000</v>
      </c>
      <c r="AK13" s="196"/>
      <c r="AL13" s="1620">
        <f>+AO13+AP13</f>
        <v>210000</v>
      </c>
      <c r="AM13" s="1767"/>
      <c r="AN13" s="1777"/>
      <c r="AO13" s="1620">
        <f>+AL12*10%</f>
        <v>210000</v>
      </c>
      <c r="AP13" s="196"/>
      <c r="AR13" s="5897"/>
      <c r="AS13" s="5897"/>
      <c r="BB13" s="6037"/>
    </row>
    <row r="14" spans="1:58">
      <c r="A14" s="5579"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80"/>
      <c r="R14" s="5562">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02">
        <v>560000</v>
      </c>
    </row>
    <row r="15" spans="1:58" s="5328" customFormat="1" ht="27.6">
      <c r="A15" s="5583" t="s">
        <v>29</v>
      </c>
      <c r="B15" s="5232" t="s">
        <v>3188</v>
      </c>
      <c r="C15" s="1639"/>
      <c r="D15" s="1620"/>
      <c r="E15" s="4942"/>
      <c r="F15" s="1639"/>
      <c r="G15" s="1639"/>
      <c r="H15" s="1620"/>
      <c r="I15" s="4943"/>
      <c r="J15" s="4944"/>
      <c r="K15" s="1620"/>
      <c r="L15" s="1620"/>
      <c r="M15" s="4945">
        <f t="shared" si="9"/>
        <v>100000</v>
      </c>
      <c r="N15" s="4943"/>
      <c r="O15" s="4947"/>
      <c r="P15" s="4945">
        <v>100000</v>
      </c>
      <c r="Q15" s="5584"/>
      <c r="R15" s="5563">
        <f>SUM(U15:V15)</f>
        <v>120000</v>
      </c>
      <c r="S15" s="4943"/>
      <c r="T15" s="4944"/>
      <c r="U15" s="5323">
        <v>120000</v>
      </c>
      <c r="V15" s="1620"/>
      <c r="W15" s="1620">
        <f>SUM(Z15:AA15)</f>
        <v>135000</v>
      </c>
      <c r="X15" s="4943"/>
      <c r="Y15" s="5324"/>
      <c r="Z15" s="5323">
        <v>135000</v>
      </c>
      <c r="AA15" s="1620"/>
      <c r="AB15" s="1620">
        <f>+AE15+AF15</f>
        <v>155000</v>
      </c>
      <c r="AC15" s="4943"/>
      <c r="AD15" s="5325"/>
      <c r="AE15" s="1620">
        <v>155000</v>
      </c>
      <c r="AF15" s="1620"/>
      <c r="AG15" s="1620">
        <f>+AJ15+AK15</f>
        <v>175000</v>
      </c>
      <c r="AH15" s="5326"/>
      <c r="AI15" s="5327"/>
      <c r="AJ15" s="1620">
        <v>175000</v>
      </c>
      <c r="AK15" s="1620"/>
      <c r="AL15" s="1620">
        <f>+AO15+AP15</f>
        <v>200000</v>
      </c>
      <c r="AM15" s="4943"/>
      <c r="AN15" s="5327"/>
      <c r="AO15" s="1620">
        <v>200000</v>
      </c>
      <c r="AP15" s="1620"/>
    </row>
    <row r="16" spans="1:58">
      <c r="A16" s="5579"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80"/>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81"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789">
        <f>SUM(M18:M21)</f>
        <v>0</v>
      </c>
      <c r="N17" s="4790">
        <f t="shared" si="10"/>
        <v>0</v>
      </c>
      <c r="O17" s="1770">
        <f t="shared" si="1"/>
        <v>0</v>
      </c>
      <c r="P17" s="4789">
        <f>SUM(P18:P21)</f>
        <v>0</v>
      </c>
      <c r="Q17" s="5582">
        <f>SUM(Q18:Q21)</f>
        <v>0</v>
      </c>
      <c r="R17" s="5564">
        <f>SUM(R18:R21)</f>
        <v>0</v>
      </c>
      <c r="S17" s="1771">
        <f>R17/$R$8*100</f>
        <v>0</v>
      </c>
      <c r="T17" s="1772" t="e">
        <f t="shared" si="24"/>
        <v>#DIV/0!</v>
      </c>
      <c r="U17" s="196">
        <f>SUM(U18:U21)</f>
        <v>0</v>
      </c>
      <c r="V17" s="196">
        <f>SUM(V18:V21)</f>
        <v>0</v>
      </c>
      <c r="W17" s="4789">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54" customFormat="1" ht="27.6" hidden="1">
      <c r="A18" s="5585" t="s">
        <v>3126</v>
      </c>
      <c r="B18" s="4781" t="s">
        <v>3142</v>
      </c>
      <c r="C18" s="4941"/>
      <c r="D18" s="1620">
        <f t="shared" si="7"/>
        <v>60000</v>
      </c>
      <c r="E18" s="4942"/>
      <c r="F18" s="1639">
        <v>60000</v>
      </c>
      <c r="G18" s="4941"/>
      <c r="H18" s="1620">
        <f>SUM(K18:L18)</f>
        <v>60000</v>
      </c>
      <c r="I18" s="4943">
        <f t="shared" si="6"/>
        <v>0.30436985850133658</v>
      </c>
      <c r="J18" s="4944">
        <f t="shared" si="4"/>
        <v>1</v>
      </c>
      <c r="K18" s="1620">
        <v>60000</v>
      </c>
      <c r="L18" s="1620"/>
      <c r="M18" s="4945">
        <f>SUM(P18:Q18)</f>
        <v>0</v>
      </c>
      <c r="N18" s="4946">
        <f t="shared" si="10"/>
        <v>0</v>
      </c>
      <c r="O18" s="4947">
        <f t="shared" si="1"/>
        <v>0</v>
      </c>
      <c r="P18" s="4945"/>
      <c r="Q18" s="5584"/>
      <c r="R18" s="5565"/>
      <c r="S18" s="4948"/>
      <c r="T18" s="4949"/>
      <c r="U18" s="1622"/>
      <c r="V18" s="1622"/>
      <c r="W18" s="1622"/>
      <c r="X18" s="4948"/>
      <c r="Y18" s="4950"/>
      <c r="Z18" s="1622"/>
      <c r="AA18" s="1622"/>
      <c r="AB18" s="1622"/>
      <c r="AC18" s="4948"/>
      <c r="AD18" s="4951"/>
      <c r="AE18" s="1622"/>
      <c r="AF18" s="1622"/>
      <c r="AG18" s="1622"/>
      <c r="AH18" s="4952"/>
      <c r="AI18" s="4953"/>
      <c r="AJ18" s="1622"/>
      <c r="AK18" s="1622"/>
      <c r="AL18" s="1622"/>
      <c r="AM18" s="4948"/>
      <c r="AN18" s="4953"/>
      <c r="AO18" s="1622"/>
      <c r="AP18" s="1622"/>
    </row>
    <row r="19" spans="1:58" s="4954" customFormat="1" ht="69" hidden="1">
      <c r="A19" s="5585" t="s">
        <v>3127</v>
      </c>
      <c r="B19" s="4781" t="s">
        <v>3141</v>
      </c>
      <c r="C19" s="4941"/>
      <c r="D19" s="1620">
        <f t="shared" si="7"/>
        <v>0</v>
      </c>
      <c r="E19" s="4942"/>
      <c r="F19" s="4941"/>
      <c r="G19" s="4941"/>
      <c r="H19" s="1620">
        <f>SUM(K19:L19)</f>
        <v>0</v>
      </c>
      <c r="I19" s="4943"/>
      <c r="J19" s="4944"/>
      <c r="K19" s="1620"/>
      <c r="L19" s="1620"/>
      <c r="M19" s="4945">
        <f>SUM(P19:Q19)</f>
        <v>0</v>
      </c>
      <c r="N19" s="4943"/>
      <c r="O19" s="4947"/>
      <c r="P19" s="4945"/>
      <c r="Q19" s="5586"/>
      <c r="R19" s="5566"/>
      <c r="S19" s="4948"/>
      <c r="T19" s="4949"/>
      <c r="U19" s="1622"/>
      <c r="V19" s="1622"/>
      <c r="W19" s="1622"/>
      <c r="X19" s="4948"/>
      <c r="Y19" s="4950"/>
      <c r="Z19" s="1622"/>
      <c r="AA19" s="1622"/>
      <c r="AB19" s="1622"/>
      <c r="AC19" s="4948"/>
      <c r="AD19" s="4951"/>
      <c r="AE19" s="1622"/>
      <c r="AF19" s="1622"/>
      <c r="AG19" s="1622"/>
      <c r="AH19" s="4952"/>
      <c r="AI19" s="4953"/>
      <c r="AJ19" s="1622"/>
      <c r="AK19" s="1622"/>
      <c r="AL19" s="1622"/>
      <c r="AM19" s="4948"/>
      <c r="AN19" s="4953"/>
      <c r="AO19" s="1622"/>
      <c r="AP19" s="1622"/>
    </row>
    <row r="20" spans="1:58" hidden="1">
      <c r="A20" s="4892" t="s">
        <v>3143</v>
      </c>
      <c r="B20" s="4780"/>
      <c r="C20" s="1765"/>
      <c r="D20" s="196"/>
      <c r="E20" s="1766"/>
      <c r="F20" s="1765"/>
      <c r="G20" s="1765"/>
      <c r="H20" s="196"/>
      <c r="I20" s="1767"/>
      <c r="J20" s="1768"/>
      <c r="K20" s="196"/>
      <c r="L20" s="196"/>
      <c r="M20" s="1769"/>
      <c r="N20" s="1767"/>
      <c r="O20" s="1770"/>
      <c r="P20" s="1769"/>
      <c r="Q20" s="5580"/>
      <c r="R20" s="5562"/>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892" t="s">
        <v>3144</v>
      </c>
      <c r="B21" s="4780"/>
      <c r="C21" s="1765"/>
      <c r="D21" s="196"/>
      <c r="E21" s="1766"/>
      <c r="F21" s="1765"/>
      <c r="G21" s="1765"/>
      <c r="H21" s="196"/>
      <c r="I21" s="1767"/>
      <c r="J21" s="1768"/>
      <c r="K21" s="196"/>
      <c r="L21" s="196"/>
      <c r="M21" s="1769"/>
      <c r="N21" s="1767"/>
      <c r="O21" s="1770"/>
      <c r="P21" s="1769"/>
      <c r="Q21" s="5580"/>
      <c r="R21" s="5562"/>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77">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60">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38">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87"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80">
        <f>+'Phụ lục số 8'!C12</f>
        <v>4752863.0000000009</v>
      </c>
      <c r="R23" s="5562">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87"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80">
        <f>G24*Q56</f>
        <v>0</v>
      </c>
      <c r="R24" s="5562">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87" t="s">
        <v>147</v>
      </c>
      <c r="B25" s="1811" t="s">
        <v>3125</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80">
        <f>(G25*Q56)</f>
        <v>236782.8</v>
      </c>
      <c r="R25" s="5562">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588"/>
      <c r="B26" s="5217"/>
      <c r="C26" s="5218"/>
      <c r="D26" s="5219"/>
      <c r="E26" s="5220"/>
      <c r="F26" s="5221"/>
      <c r="G26" s="5221"/>
      <c r="H26" s="5218"/>
      <c r="I26" s="5222"/>
      <c r="J26" s="5223"/>
      <c r="K26" s="5224">
        <f t="shared" ref="K26:K35" si="37">+F26</f>
        <v>0</v>
      </c>
      <c r="L26" s="5224">
        <f t="shared" si="35"/>
        <v>0</v>
      </c>
      <c r="M26" s="5218"/>
      <c r="N26" s="5222"/>
      <c r="O26" s="5225"/>
      <c r="P26" s="5226"/>
      <c r="Q26" s="5589"/>
      <c r="R26" s="5567"/>
      <c r="S26" s="5227"/>
      <c r="T26" s="5228"/>
      <c r="U26" s="5218"/>
      <c r="V26" s="5224"/>
      <c r="W26" s="5218"/>
      <c r="X26" s="5227"/>
      <c r="Y26" s="5229"/>
      <c r="Z26" s="5230"/>
      <c r="AA26" s="5218"/>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87"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80">
        <f t="shared" ref="Q27" si="44">G27*1</f>
        <v>0</v>
      </c>
      <c r="R27" s="5562">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87"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80">
        <f>(G28*Q56)</f>
        <v>47572.799999999996</v>
      </c>
      <c r="R28" s="5562">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87"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80">
        <f>(G29*Q56)</f>
        <v>34598.400000000001</v>
      </c>
      <c r="R29" s="5562">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87"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80">
        <f>(G30*Q56)</f>
        <v>17299.2</v>
      </c>
      <c r="R30" s="5562">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87"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80">
        <f>+'Phụ lục số 8.1'!H45</f>
        <v>117511</v>
      </c>
      <c r="R31" s="5562">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87"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80">
        <f>'Phụ lục số 8'!C10-Q31-Q23-Q24-Q25-Q26-Q27-Q28-Q29-Q30-Q33-Q34-Q35</f>
        <v>2132984.9570000004</v>
      </c>
      <c r="R32" s="5562">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87"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80">
        <f>(G33*Q56)</f>
        <v>1140666</v>
      </c>
      <c r="R33" s="5562">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87"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80">
        <f>(G34*Q56)</f>
        <v>566548.79999999993</v>
      </c>
      <c r="R34" s="5562">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87"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80">
        <f>(G35*Q56)</f>
        <v>34598.400000000001</v>
      </c>
      <c r="R35" s="5562">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590">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591"/>
      <c r="R36" s="5560">
        <f t="shared" si="29"/>
        <v>3500</v>
      </c>
      <c r="S36" s="1753">
        <f t="shared" si="36"/>
        <v>1.5689424717518507E-2</v>
      </c>
      <c r="T36" s="1754">
        <f t="shared" si="24"/>
        <v>1</v>
      </c>
      <c r="U36" s="4766">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590">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591"/>
      <c r="R37" s="5560">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590">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592">
        <f>+'Phụ lục số 8'!C14</f>
        <v>212441.54999999996</v>
      </c>
      <c r="R38" s="5560">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590">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60">
        <f t="shared" si="53"/>
        <v>626117.15251171635</v>
      </c>
      <c r="S39" s="1753">
        <f t="shared" si="36"/>
        <v>2.8066908367656076</v>
      </c>
      <c r="T39" s="1754">
        <f t="shared" si="24"/>
        <v>1.2043030438771232</v>
      </c>
      <c r="U39" s="5329">
        <f>+P39+'Phụ lục số 3-CĐC'!M87+38320.37528</f>
        <v>202308.50969414107</v>
      </c>
      <c r="V39" s="5329">
        <f>+Q39+'Phụ lục số 3-CĐC'!N87-122816.112</f>
        <v>423808.64281757525</v>
      </c>
      <c r="W39" s="1570">
        <f t="shared" si="54"/>
        <v>789623.5261911191</v>
      </c>
      <c r="X39" s="1753">
        <f t="shared" si="12"/>
        <v>3.4244781887323326</v>
      </c>
      <c r="Y39" s="1755">
        <f t="shared" si="13"/>
        <v>1.2611434186453518</v>
      </c>
      <c r="Z39" s="5313">
        <f>+U39+'Phụ lục số 3-CĐC'!P87-31393.745-0.34</f>
        <v>394092.17037477036</v>
      </c>
      <c r="AA39" s="5313">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593"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594">
        <f t="shared" ref="Q40" si="60">SUM(Q41,Q44,Q47)</f>
        <v>254385</v>
      </c>
      <c r="R40" s="5568">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59">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595">
        <f t="shared" ref="Q41" si="68">SUM(Q42:Q43)</f>
        <v>0</v>
      </c>
      <c r="R41" s="5569">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54" customFormat="1" hidden="1">
      <c r="A42" s="5596" t="s">
        <v>99</v>
      </c>
      <c r="B42" s="5231" t="s">
        <v>100</v>
      </c>
      <c r="C42" s="4941">
        <f>SUM(F42:G42)</f>
        <v>1681570</v>
      </c>
      <c r="D42" s="1620">
        <f t="shared" ref="D42:D53" si="74">SUM(F42:G42)</f>
        <v>1681570</v>
      </c>
      <c r="E42" s="4942">
        <f t="shared" si="3"/>
        <v>8.8338802361891116</v>
      </c>
      <c r="F42" s="4941">
        <f>'Phụ lục số I'!H60</f>
        <v>1681570</v>
      </c>
      <c r="G42" s="4941"/>
      <c r="H42" s="4941">
        <f>SUM(K42:L42)</f>
        <v>1681570</v>
      </c>
      <c r="I42" s="5250"/>
      <c r="J42" s="4944">
        <f t="shared" si="4"/>
        <v>1</v>
      </c>
      <c r="K42" s="1622">
        <f>F42</f>
        <v>1681570</v>
      </c>
      <c r="L42" s="5251">
        <f>G42</f>
        <v>0</v>
      </c>
      <c r="M42" s="4941">
        <f>SUM(P42:Q42)</f>
        <v>2399255</v>
      </c>
      <c r="N42" s="5250"/>
      <c r="O42" s="5252"/>
      <c r="P42" s="1622">
        <f>+'Phụ lục số 1'!Q63</f>
        <v>2399255</v>
      </c>
      <c r="Q42" s="5597"/>
      <c r="R42" s="5570">
        <f>SUM(U42:V42)</f>
        <v>2399255</v>
      </c>
      <c r="S42" s="5250"/>
      <c r="T42" s="5250"/>
      <c r="U42" s="5251">
        <f>P42</f>
        <v>2399255</v>
      </c>
      <c r="V42" s="5251"/>
      <c r="W42" s="4941">
        <f>SUM(Z42:AA42)</f>
        <v>2399255</v>
      </c>
      <c r="X42" s="5250"/>
      <c r="Y42" s="5253"/>
      <c r="Z42" s="1622">
        <f>U42</f>
        <v>2399255</v>
      </c>
      <c r="AA42" s="1622"/>
      <c r="AB42" s="4941">
        <f>SUM(AE42:AF42)</f>
        <v>2399255</v>
      </c>
      <c r="AC42" s="5250"/>
      <c r="AD42" s="5250"/>
      <c r="AE42" s="1622">
        <f>Z42</f>
        <v>2399255</v>
      </c>
      <c r="AF42" s="1622"/>
      <c r="AG42" s="4941">
        <f>SUM(AJ42:AK42)</f>
        <v>2399255</v>
      </c>
      <c r="AH42" s="5250"/>
      <c r="AI42" s="5250"/>
      <c r="AJ42" s="1622">
        <f>AE42</f>
        <v>2399255</v>
      </c>
      <c r="AK42" s="1622"/>
      <c r="AL42" s="4941">
        <f>SUM(AO42:AP42)</f>
        <v>2399255</v>
      </c>
      <c r="AM42" s="5250"/>
      <c r="AN42" s="5250"/>
      <c r="AO42" s="1622">
        <f>AJ42</f>
        <v>2399255</v>
      </c>
      <c r="AP42" s="1622"/>
      <c r="BA42" s="4941">
        <f>SUM(BD42:BE42)</f>
        <v>0</v>
      </c>
    </row>
    <row r="43" spans="1:55" s="4954" customFormat="1" hidden="1">
      <c r="A43" s="5596" t="s">
        <v>101</v>
      </c>
      <c r="B43" s="5231" t="s">
        <v>102</v>
      </c>
      <c r="C43" s="4941">
        <f>SUM(F43:G43)</f>
        <v>132921</v>
      </c>
      <c r="D43" s="1620">
        <f t="shared" si="74"/>
        <v>132921</v>
      </c>
      <c r="E43" s="4942">
        <f t="shared" si="3"/>
        <v>0.69828088921334996</v>
      </c>
      <c r="F43" s="4941">
        <f>'Phụ lục số I'!H61</f>
        <v>132921</v>
      </c>
      <c r="G43" s="4941"/>
      <c r="H43" s="4941">
        <f>SUM(K43:L43)</f>
        <v>132921</v>
      </c>
      <c r="I43" s="5250"/>
      <c r="J43" s="4944">
        <f t="shared" si="4"/>
        <v>1</v>
      </c>
      <c r="K43" s="5251">
        <f t="shared" ref="K43:L43" si="75">F43</f>
        <v>132921</v>
      </c>
      <c r="L43" s="5251">
        <f t="shared" si="75"/>
        <v>0</v>
      </c>
      <c r="M43" s="4941">
        <f>SUM(P43:Q43)</f>
        <v>131239</v>
      </c>
      <c r="N43" s="5250"/>
      <c r="O43" s="5252"/>
      <c r="P43" s="1622">
        <f>+'Phụ lục số 6'!D18</f>
        <v>131239</v>
      </c>
      <c r="Q43" s="5597"/>
      <c r="R43" s="5570">
        <f>SUM(U43:V43)</f>
        <v>131239</v>
      </c>
      <c r="S43" s="5250"/>
      <c r="T43" s="5250"/>
      <c r="U43" s="5251">
        <f>P43</f>
        <v>131239</v>
      </c>
      <c r="V43" s="5251"/>
      <c r="W43" s="4941">
        <f>SUM(Z43:AA43)</f>
        <v>131239</v>
      </c>
      <c r="X43" s="5250"/>
      <c r="Y43" s="5253"/>
      <c r="Z43" s="1622">
        <f>U43</f>
        <v>131239</v>
      </c>
      <c r="AA43" s="1622"/>
      <c r="AB43" s="4941">
        <f>SUM(AE43:AF43)</f>
        <v>131239</v>
      </c>
      <c r="AC43" s="5250"/>
      <c r="AD43" s="5250"/>
      <c r="AE43" s="1622">
        <f>Z43</f>
        <v>131239</v>
      </c>
      <c r="AF43" s="1622"/>
      <c r="AG43" s="4941">
        <f>SUM(AJ43:AK43)</f>
        <v>131239</v>
      </c>
      <c r="AH43" s="5250"/>
      <c r="AI43" s="5250"/>
      <c r="AJ43" s="1622">
        <f>AE43</f>
        <v>131239</v>
      </c>
      <c r="AK43" s="1622"/>
      <c r="AL43" s="4941">
        <f>SUM(AO43:AP43)</f>
        <v>131239</v>
      </c>
      <c r="AM43" s="5250"/>
      <c r="AN43" s="5250"/>
      <c r="AO43" s="1622">
        <f>AJ43</f>
        <v>131239</v>
      </c>
      <c r="AP43" s="1622"/>
      <c r="BA43" s="4941">
        <f>SUM(BD43:BE43)</f>
        <v>0</v>
      </c>
    </row>
    <row r="44" spans="1:55">
      <c r="A44" s="4959">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595">
        <f t="shared" ref="Q44" si="80">SUM(Q45:Q46)</f>
        <v>96175</v>
      </c>
      <c r="R44" s="5569">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54" customFormat="1" hidden="1">
      <c r="A45" s="5596" t="s">
        <v>99</v>
      </c>
      <c r="B45" s="5231" t="s">
        <v>103</v>
      </c>
      <c r="C45" s="4941">
        <f>SUM(F45:G45)</f>
        <v>72469</v>
      </c>
      <c r="D45" s="1620">
        <f t="shared" si="74"/>
        <v>72469</v>
      </c>
      <c r="E45" s="4942">
        <f t="shared" si="3"/>
        <v>0.38070521407755181</v>
      </c>
      <c r="F45" s="4941">
        <f>'Phụ lục số I'!H63</f>
        <v>72469</v>
      </c>
      <c r="G45" s="4941"/>
      <c r="H45" s="4941">
        <f>SUM(K45:L45)</f>
        <v>72469</v>
      </c>
      <c r="I45" s="5250"/>
      <c r="J45" s="4944">
        <f t="shared" si="4"/>
        <v>1</v>
      </c>
      <c r="K45" s="5251">
        <f t="shared" ref="K45:L46" si="86">F45</f>
        <v>72469</v>
      </c>
      <c r="L45" s="5251">
        <f t="shared" si="86"/>
        <v>0</v>
      </c>
      <c r="M45" s="4941">
        <f>+'Phụ lục số 6'!E28-'Phụ lục số 6'!E32</f>
        <v>186007</v>
      </c>
      <c r="N45" s="5250"/>
      <c r="O45" s="5252"/>
      <c r="P45" s="1622">
        <f>+M45-Q45</f>
        <v>89832</v>
      </c>
      <c r="Q45" s="5598">
        <f>+'Phụ lục số 8'!C20+'Phụ lục số 8'!C19</f>
        <v>96175</v>
      </c>
      <c r="R45" s="5570">
        <f>SUM(U45:V45)</f>
        <v>186007</v>
      </c>
      <c r="S45" s="5250"/>
      <c r="T45" s="5250"/>
      <c r="U45" s="5251">
        <f>P45</f>
        <v>89832</v>
      </c>
      <c r="V45" s="5251">
        <f>+Q45</f>
        <v>96175</v>
      </c>
      <c r="W45" s="4941">
        <f>SUM(Z45:AA45)</f>
        <v>186007</v>
      </c>
      <c r="X45" s="5250"/>
      <c r="Y45" s="5253"/>
      <c r="Z45" s="1622">
        <f>U45</f>
        <v>89832</v>
      </c>
      <c r="AA45" s="1622">
        <f>+V45</f>
        <v>96175</v>
      </c>
      <c r="AB45" s="4941">
        <f>SUM(AE45:AF45)</f>
        <v>186007</v>
      </c>
      <c r="AC45" s="5250"/>
      <c r="AD45" s="5250"/>
      <c r="AE45" s="1622">
        <f>Z45</f>
        <v>89832</v>
      </c>
      <c r="AF45" s="1622">
        <f>+AA45</f>
        <v>96175</v>
      </c>
      <c r="AG45" s="4941">
        <f>SUM(AJ45:AK45)</f>
        <v>186007</v>
      </c>
      <c r="AH45" s="5250"/>
      <c r="AI45" s="5250"/>
      <c r="AJ45" s="1622">
        <f>AE45</f>
        <v>89832</v>
      </c>
      <c r="AK45" s="1622">
        <f>+AF45</f>
        <v>96175</v>
      </c>
      <c r="AL45" s="4941">
        <f>SUM(AO45:AP45)</f>
        <v>186007</v>
      </c>
      <c r="AM45" s="5250"/>
      <c r="AN45" s="5250"/>
      <c r="AO45" s="1622">
        <f>AJ45</f>
        <v>89832</v>
      </c>
      <c r="AP45" s="1622">
        <f>+AK45</f>
        <v>96175</v>
      </c>
      <c r="BA45" s="4941">
        <f>+'Phụ lục số 6'!AS28-'Phụ lục số 6'!AS32</f>
        <v>0</v>
      </c>
    </row>
    <row r="46" spans="1:55" s="4954" customFormat="1" hidden="1">
      <c r="A46" s="5596" t="s">
        <v>101</v>
      </c>
      <c r="B46" s="5231" t="s">
        <v>102</v>
      </c>
      <c r="C46" s="4941">
        <f>SUM(F46:G46)</f>
        <v>102016</v>
      </c>
      <c r="D46" s="1620">
        <f t="shared" si="74"/>
        <v>102016</v>
      </c>
      <c r="E46" s="4942">
        <f t="shared" si="3"/>
        <v>0.53592602518781163</v>
      </c>
      <c r="F46" s="4941">
        <f>'Phụ lục số I'!H64</f>
        <v>102016</v>
      </c>
      <c r="G46" s="4941"/>
      <c r="H46" s="4941">
        <f>SUM(K46:L46)</f>
        <v>102016</v>
      </c>
      <c r="I46" s="5250"/>
      <c r="J46" s="4944">
        <f t="shared" si="4"/>
        <v>1</v>
      </c>
      <c r="K46" s="5251">
        <f t="shared" si="86"/>
        <v>102016</v>
      </c>
      <c r="L46" s="5251">
        <f t="shared" si="86"/>
        <v>0</v>
      </c>
      <c r="M46" s="4941">
        <f>SUM(P46:Q46)</f>
        <v>35905</v>
      </c>
      <c r="N46" s="5250"/>
      <c r="O46" s="5252"/>
      <c r="P46" s="1622">
        <f>+'Phụ lục số 6'!E18</f>
        <v>35905</v>
      </c>
      <c r="Q46" s="5597"/>
      <c r="R46" s="5570">
        <f>SUM(U46:V46)</f>
        <v>35905</v>
      </c>
      <c r="S46" s="5250"/>
      <c r="T46" s="5250"/>
      <c r="U46" s="5251">
        <f>P46</f>
        <v>35905</v>
      </c>
      <c r="V46" s="5251"/>
      <c r="W46" s="4941">
        <f>SUM(Z46:AA46)</f>
        <v>35905</v>
      </c>
      <c r="X46" s="5250"/>
      <c r="Y46" s="5253"/>
      <c r="Z46" s="1622">
        <f>U46</f>
        <v>35905</v>
      </c>
      <c r="AA46" s="1622"/>
      <c r="AB46" s="4941">
        <f>SUM(AE46:AF46)</f>
        <v>35905</v>
      </c>
      <c r="AC46" s="5250"/>
      <c r="AD46" s="5250"/>
      <c r="AE46" s="1622">
        <f>Z46</f>
        <v>35905</v>
      </c>
      <c r="AF46" s="1622"/>
      <c r="AG46" s="4941">
        <f>SUM(AJ46:AK46)</f>
        <v>35905</v>
      </c>
      <c r="AH46" s="5250"/>
      <c r="AI46" s="5250"/>
      <c r="AJ46" s="1622">
        <f>AE46</f>
        <v>35905</v>
      </c>
      <c r="AK46" s="1622"/>
      <c r="AL46" s="4941">
        <f>SUM(AO46:AP46)</f>
        <v>35905</v>
      </c>
      <c r="AM46" s="5250"/>
      <c r="AN46" s="5250"/>
      <c r="AO46" s="1622">
        <f>AJ46</f>
        <v>35905</v>
      </c>
      <c r="AP46" s="1622"/>
      <c r="BA46" s="4941">
        <f>SUM(BD46:BE46)</f>
        <v>0</v>
      </c>
    </row>
    <row r="47" spans="1:55">
      <c r="A47" s="4959">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595">
        <f>SUM(Q48:Q49)</f>
        <v>158210</v>
      </c>
      <c r="R47" s="5569">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54" customFormat="1" hidden="1">
      <c r="A48" s="5596" t="s">
        <v>99</v>
      </c>
      <c r="B48" s="5231" t="s">
        <v>104</v>
      </c>
      <c r="C48" s="4941">
        <f>SUM(F48:G48)</f>
        <v>0</v>
      </c>
      <c r="D48" s="1620">
        <f t="shared" si="74"/>
        <v>0</v>
      </c>
      <c r="E48" s="5249"/>
      <c r="F48" s="4941"/>
      <c r="G48" s="4941"/>
      <c r="H48" s="4941">
        <f>SUM(K48:L48)</f>
        <v>0</v>
      </c>
      <c r="I48" s="5250"/>
      <c r="J48" s="4944" t="e">
        <f t="shared" si="4"/>
        <v>#DIV/0!</v>
      </c>
      <c r="K48" s="5251">
        <f t="shared" ref="K48:L49" si="89">F48</f>
        <v>0</v>
      </c>
      <c r="L48" s="5251">
        <f t="shared" si="89"/>
        <v>0</v>
      </c>
      <c r="M48" s="4941">
        <f>SUM(P48:Q48)</f>
        <v>0</v>
      </c>
      <c r="N48" s="5250"/>
      <c r="O48" s="5252"/>
      <c r="P48" s="5250"/>
      <c r="Q48" s="5597"/>
      <c r="R48" s="5570">
        <f>SUM(U48:V48)</f>
        <v>0</v>
      </c>
      <c r="S48" s="5250"/>
      <c r="T48" s="5250"/>
      <c r="U48" s="5251">
        <f>P48</f>
        <v>0</v>
      </c>
      <c r="V48" s="5250"/>
      <c r="W48" s="4941">
        <f>SUM(Z48:AA48)</f>
        <v>0</v>
      </c>
      <c r="X48" s="5250"/>
      <c r="Y48" s="5253"/>
      <c r="Z48" s="1622">
        <f>U48</f>
        <v>0</v>
      </c>
      <c r="AA48" s="1622"/>
      <c r="AB48" s="4941">
        <f>SUM(AE48:AF48)</f>
        <v>0</v>
      </c>
      <c r="AC48" s="5250"/>
      <c r="AD48" s="5250"/>
      <c r="AE48" s="5251">
        <f>Z48</f>
        <v>0</v>
      </c>
      <c r="AF48" s="5251"/>
      <c r="AG48" s="4941">
        <f>SUM(AJ48:AK48)</f>
        <v>0</v>
      </c>
      <c r="AH48" s="5250"/>
      <c r="AI48" s="5250"/>
      <c r="AJ48" s="5251">
        <f>AE48</f>
        <v>0</v>
      </c>
      <c r="AK48" s="5251"/>
      <c r="AL48" s="4941">
        <f>SUM(AO48:AP48)</f>
        <v>0</v>
      </c>
      <c r="AM48" s="5250"/>
      <c r="AN48" s="5250"/>
      <c r="AO48" s="5251">
        <f>AJ48</f>
        <v>0</v>
      </c>
      <c r="AP48" s="5251"/>
      <c r="BA48" s="4941">
        <f>SUM(BD48:BE48)</f>
        <v>0</v>
      </c>
    </row>
    <row r="49" spans="1:53" s="4954" customFormat="1" hidden="1">
      <c r="A49" s="5596" t="s">
        <v>101</v>
      </c>
      <c r="B49" s="5231" t="s">
        <v>105</v>
      </c>
      <c r="C49" s="4941">
        <f t="shared" ref="C49" si="90">SUM(F49:G49)</f>
        <v>0</v>
      </c>
      <c r="D49" s="1620">
        <f t="shared" si="74"/>
        <v>0</v>
      </c>
      <c r="E49" s="5249"/>
      <c r="F49" s="4941"/>
      <c r="G49" s="4941"/>
      <c r="H49" s="4941">
        <f>SUM(K49:L49)</f>
        <v>138559</v>
      </c>
      <c r="I49" s="5250"/>
      <c r="J49" s="4944" t="e">
        <f t="shared" si="4"/>
        <v>#DIV/0!</v>
      </c>
      <c r="K49" s="5251">
        <f>'Phụ lục số I'!O67</f>
        <v>138559</v>
      </c>
      <c r="L49" s="5251">
        <f t="shared" si="89"/>
        <v>0</v>
      </c>
      <c r="M49" s="4941">
        <f>+'Phụ lục số 6'!E32</f>
        <v>284586</v>
      </c>
      <c r="N49" s="5250"/>
      <c r="O49" s="5252"/>
      <c r="P49" s="5251">
        <f>+M49-Q49</f>
        <v>126376</v>
      </c>
      <c r="Q49" s="5598">
        <f>+'Phụ lục số 8'!C21</f>
        <v>158210</v>
      </c>
      <c r="R49" s="5570">
        <f>SUM(U49:V49)</f>
        <v>284586</v>
      </c>
      <c r="S49" s="5250"/>
      <c r="T49" s="5250"/>
      <c r="U49" s="5251">
        <f>P49</f>
        <v>126376</v>
      </c>
      <c r="V49" s="5251">
        <f>+Q49</f>
        <v>158210</v>
      </c>
      <c r="W49" s="4941">
        <f>SUM(Z49:AA49)</f>
        <v>284586</v>
      </c>
      <c r="X49" s="5250"/>
      <c r="Y49" s="5253"/>
      <c r="Z49" s="1622">
        <f>U49</f>
        <v>126376</v>
      </c>
      <c r="AA49" s="1622">
        <f>+V49</f>
        <v>158210</v>
      </c>
      <c r="AB49" s="4941">
        <f>SUM(AE49:AF49)</f>
        <v>284586</v>
      </c>
      <c r="AC49" s="5250"/>
      <c r="AD49" s="5250"/>
      <c r="AE49" s="1622">
        <f>Z49</f>
        <v>126376</v>
      </c>
      <c r="AF49" s="1622">
        <f>+AA49</f>
        <v>158210</v>
      </c>
      <c r="AG49" s="4941">
        <f>SUM(AJ49:AK49)</f>
        <v>284586</v>
      </c>
      <c r="AH49" s="1622"/>
      <c r="AI49" s="1622"/>
      <c r="AJ49" s="1622">
        <f>AE49</f>
        <v>126376</v>
      </c>
      <c r="AK49" s="1622">
        <f>+AF49</f>
        <v>158210</v>
      </c>
      <c r="AL49" s="4941">
        <f>SUM(AO49:AP49)</f>
        <v>284586</v>
      </c>
      <c r="AM49" s="1622"/>
      <c r="AN49" s="1622"/>
      <c r="AO49" s="1622">
        <f>AJ49</f>
        <v>126376</v>
      </c>
      <c r="AP49" s="1622">
        <f>+AK49</f>
        <v>158210</v>
      </c>
      <c r="BA49" s="4941">
        <f>+'Phụ lục số 6'!AS32</f>
        <v>0</v>
      </c>
    </row>
    <row r="50" spans="1:53" s="31" customFormat="1">
      <c r="A50" s="5593"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591"/>
      <c r="R50" s="5568">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590" t="s">
        <v>37</v>
      </c>
      <c r="B51" s="5172" t="s">
        <v>3230</v>
      </c>
      <c r="C51" s="1570"/>
      <c r="D51" s="195">
        <f t="shared" si="74"/>
        <v>0</v>
      </c>
      <c r="E51" s="1789"/>
      <c r="F51" s="1570"/>
      <c r="G51" s="1570"/>
      <c r="H51" s="1759"/>
      <c r="I51" s="1759"/>
      <c r="J51" s="2197" t="e">
        <f t="shared" si="4"/>
        <v>#DIV/0!</v>
      </c>
      <c r="K51" s="1759"/>
      <c r="L51" s="1759"/>
      <c r="M51" s="38">
        <f>+P51+Q51</f>
        <v>5553.7960000000003</v>
      </c>
      <c r="N51" s="38"/>
      <c r="O51" s="38"/>
      <c r="P51" s="5233">
        <f>+'Phụ lục số 5'!AM125</f>
        <v>5553.7960000000003</v>
      </c>
      <c r="Q51" s="5592"/>
      <c r="R51" s="5571"/>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599" t="s">
        <v>44</v>
      </c>
      <c r="B52" s="5172" t="s">
        <v>3174</v>
      </c>
      <c r="C52" s="5173"/>
      <c r="D52" s="5174"/>
      <c r="E52" s="5175"/>
      <c r="F52" s="5173"/>
      <c r="G52" s="5173"/>
      <c r="H52" s="5176"/>
      <c r="I52" s="5176"/>
      <c r="J52" s="5177"/>
      <c r="K52" s="5176"/>
      <c r="L52" s="5176"/>
      <c r="M52" s="5178">
        <f>+P52+Q52</f>
        <v>186700</v>
      </c>
      <c r="N52" s="5178"/>
      <c r="O52" s="5178"/>
      <c r="P52" s="5234">
        <f>+'Phụ lục số 5'!AN126</f>
        <v>186700</v>
      </c>
      <c r="Q52" s="5600"/>
      <c r="R52" s="5572"/>
      <c r="S52" s="5176"/>
      <c r="T52" s="5176"/>
      <c r="U52" s="5176"/>
      <c r="V52" s="5176"/>
      <c r="W52" s="5173"/>
      <c r="X52" s="5176"/>
      <c r="Y52" s="5179"/>
      <c r="Z52" s="5173"/>
      <c r="AA52" s="5173"/>
      <c r="AB52" s="5178"/>
      <c r="AC52" s="5176"/>
      <c r="AD52" s="5176"/>
      <c r="AE52" s="5178"/>
      <c r="AF52" s="5178"/>
      <c r="AG52" s="5176"/>
      <c r="AH52" s="5176"/>
      <c r="AI52" s="5176"/>
      <c r="AJ52" s="5178"/>
      <c r="AK52" s="5178"/>
      <c r="AL52" s="5178"/>
      <c r="AM52" s="5176"/>
      <c r="AN52" s="5176"/>
      <c r="AO52" s="5178"/>
      <c r="AP52" s="5178"/>
      <c r="BA52" s="5178">
        <f>+BD52+BE52</f>
        <v>0</v>
      </c>
    </row>
    <row r="53" spans="1:53" s="31" customFormat="1" ht="14.4" thickBot="1">
      <c r="A53" s="5601" t="s">
        <v>46</v>
      </c>
      <c r="B53" s="5602" t="s">
        <v>184</v>
      </c>
      <c r="C53" s="5603"/>
      <c r="D53" s="4910">
        <f t="shared" si="74"/>
        <v>0</v>
      </c>
      <c r="E53" s="5604"/>
      <c r="F53" s="5603"/>
      <c r="G53" s="5603"/>
      <c r="H53" s="5605"/>
      <c r="I53" s="5605"/>
      <c r="J53" s="5606" t="e">
        <f t="shared" si="4"/>
        <v>#DIV/0!</v>
      </c>
      <c r="K53" s="5605"/>
      <c r="L53" s="5605"/>
      <c r="M53" s="5605"/>
      <c r="N53" s="5605"/>
      <c r="O53" s="5607"/>
      <c r="P53" s="5605"/>
      <c r="Q53" s="5608"/>
      <c r="R53" s="5573"/>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14"/>
      <c r="O55" s="32"/>
      <c r="Q55" s="32"/>
    </row>
    <row r="56" spans="1:53" hidden="1">
      <c r="C56" s="1805">
        <f>1729491+85000</f>
        <v>1814491</v>
      </c>
      <c r="H56" s="1733">
        <f>-'Phụ lục số I'!N93</f>
        <v>285715.06482617627</v>
      </c>
      <c r="I56" s="32">
        <f>925057-G39</f>
        <v>286797</v>
      </c>
      <c r="K56" s="1797"/>
      <c r="L56" s="1797"/>
      <c r="M56" s="32"/>
      <c r="P56" s="1734" t="s">
        <v>117</v>
      </c>
      <c r="Q56" s="5239">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3218</v>
      </c>
      <c r="M61" s="1733">
        <v>17358348</v>
      </c>
    </row>
    <row r="62" spans="1:53" hidden="1">
      <c r="C62" s="32">
        <f>+C61+C60</f>
        <v>6546241</v>
      </c>
      <c r="H62" s="32">
        <v>657</v>
      </c>
      <c r="L62" s="30" t="s">
        <v>2372</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40">
        <f>+M62-M61</f>
        <v>972000.40000000224</v>
      </c>
      <c r="N63" s="32"/>
      <c r="O63" s="32"/>
      <c r="P63" s="32">
        <f>+'Phụ lục số 7'!C36</f>
        <v>7078351.9069999997</v>
      </c>
      <c r="Q63" s="32"/>
      <c r="AB63" s="5898">
        <f>+AB62/AB9</f>
        <v>2.0721301403474231E-2</v>
      </c>
      <c r="AC63" s="5898">
        <f t="shared" ref="AC63:AG63" si="91">+AC62/AC9</f>
        <v>0</v>
      </c>
      <c r="AD63" s="5898">
        <f t="shared" si="91"/>
        <v>0</v>
      </c>
      <c r="AE63" s="5898">
        <f t="shared" si="91"/>
        <v>2.2144543421870576E-2</v>
      </c>
      <c r="AF63" s="5898">
        <f t="shared" si="91"/>
        <v>1.9768402323161689E-2</v>
      </c>
      <c r="AG63" s="5898">
        <f t="shared" si="91"/>
        <v>0</v>
      </c>
    </row>
    <row r="64" spans="1:53" hidden="1">
      <c r="K64" s="32"/>
      <c r="L64" s="30" t="s">
        <v>3218</v>
      </c>
      <c r="M64" s="5240">
        <f>+M10</f>
        <v>4666890</v>
      </c>
      <c r="P64" s="5240">
        <f>+P63+P62</f>
        <v>13911433.4</v>
      </c>
      <c r="Q64" s="5155"/>
    </row>
    <row r="65" spans="1:42" hidden="1">
      <c r="A65" s="1799"/>
      <c r="B65" s="31"/>
      <c r="K65" s="32"/>
      <c r="L65" s="30" t="s">
        <v>2372</v>
      </c>
      <c r="M65" s="5240">
        <f>+M10</f>
        <v>4666890</v>
      </c>
      <c r="N65" s="5155">
        <f>+M65/M9</f>
        <v>0.2545990887985522</v>
      </c>
      <c r="O65" s="5155">
        <f>+M65/M8</f>
        <v>0.21835554685305192</v>
      </c>
      <c r="P65" s="5240">
        <f>+P64+P51</f>
        <v>13916987.196</v>
      </c>
      <c r="Q65" s="5155"/>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40">
        <f>+M65-M64</f>
        <v>0</v>
      </c>
      <c r="N66" s="1733"/>
      <c r="O66" s="1733"/>
      <c r="P66" s="5240"/>
      <c r="Q66" s="5155"/>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3218</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03">
        <v>1153930</v>
      </c>
      <c r="J68" s="1807"/>
      <c r="L68" s="30" t="s">
        <v>2372</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3218</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2372</v>
      </c>
      <c r="M71" s="1733">
        <f>+M23</f>
        <v>5859513.0000000009</v>
      </c>
      <c r="N71" s="5155">
        <f>+M71/M9</f>
        <v>0.31966184559809024</v>
      </c>
      <c r="O71" s="5155">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3218</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2372</v>
      </c>
      <c r="M74" s="1733">
        <f>+M24</f>
        <v>31307</v>
      </c>
      <c r="N74" s="5155">
        <f>+M74/M9</f>
        <v>1.7079326217280188E-3</v>
      </c>
      <c r="O74" s="5114">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3218</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2372</v>
      </c>
      <c r="M77" s="1733">
        <f>+M31</f>
        <v>205900</v>
      </c>
      <c r="N77" s="5155">
        <f>+M77/M9</f>
        <v>1.1232737944031656E-2</v>
      </c>
      <c r="O77" s="5155">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3218</v>
      </c>
      <c r="M79" s="1733">
        <v>350901</v>
      </c>
      <c r="N79" s="5155">
        <f>+M79/M9</f>
        <v>1.9143171332193554E-2</v>
      </c>
      <c r="O79" s="5155">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2372</v>
      </c>
      <c r="M80" s="1733">
        <f>+M38</f>
        <v>376400.94999999995</v>
      </c>
      <c r="N80" s="5155">
        <f>+M80/M9</f>
        <v>2.0534304192494229E-2</v>
      </c>
      <c r="O80" s="5155">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05"/>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46"/>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069" t="s">
        <v>1430</v>
      </c>
      <c r="I96" s="6069"/>
      <c r="J96" s="6069"/>
      <c r="K96" s="6069"/>
      <c r="L96" s="6069"/>
      <c r="M96" s="6069" t="s">
        <v>1431</v>
      </c>
      <c r="N96" s="6069"/>
      <c r="O96" s="6069"/>
      <c r="P96" s="6069"/>
      <c r="Q96" s="6069"/>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02"/>
      <c r="O118" s="1807"/>
      <c r="P118" s="4802"/>
      <c r="Q118" s="4803"/>
    </row>
    <row r="119" spans="10:18" hidden="1">
      <c r="J119" s="1806"/>
      <c r="K119" s="1808"/>
      <c r="O119" s="1807"/>
      <c r="Q119" s="1733"/>
    </row>
    <row r="120" spans="10:18" hidden="1">
      <c r="J120" s="1807"/>
      <c r="K120" s="1806"/>
      <c r="N120" s="32"/>
      <c r="Q120" s="1733"/>
    </row>
    <row r="121" spans="10:18" hidden="1">
      <c r="K121" s="1809"/>
      <c r="N121" s="4803"/>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082" t="s">
        <v>230</v>
      </c>
      <c r="B1" s="6082"/>
      <c r="C1" s="6082"/>
      <c r="D1" s="6082"/>
      <c r="E1" s="6082"/>
      <c r="F1" s="6082"/>
      <c r="G1" s="6082"/>
      <c r="H1" s="6082"/>
      <c r="I1" s="6082"/>
      <c r="J1" s="6082"/>
      <c r="K1" s="6082"/>
    </row>
    <row r="2" spans="1:26">
      <c r="A2" s="6083" t="s">
        <v>232</v>
      </c>
      <c r="B2" s="6083"/>
      <c r="C2" s="6083"/>
      <c r="D2" s="6083"/>
      <c r="E2" s="6083"/>
      <c r="F2" s="6083"/>
      <c r="G2" s="6083"/>
      <c r="H2" s="6083"/>
      <c r="I2" s="6083"/>
      <c r="J2" s="6083"/>
      <c r="K2" s="6083"/>
    </row>
    <row r="3" spans="1:26">
      <c r="A3" s="6084"/>
      <c r="B3" s="6084"/>
      <c r="C3" s="6084"/>
      <c r="D3" s="6084"/>
      <c r="E3" s="6084"/>
      <c r="F3" s="6084"/>
      <c r="G3" s="6084"/>
      <c r="H3" s="6084"/>
      <c r="I3" s="6084"/>
      <c r="J3" s="6084"/>
      <c r="K3" s="6084"/>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548" t="s">
        <v>200</v>
      </c>
      <c r="B6" s="6505" t="s">
        <v>201</v>
      </c>
      <c r="C6" s="6080" t="s">
        <v>219</v>
      </c>
      <c r="D6" s="6080"/>
      <c r="E6" s="6080"/>
      <c r="F6" s="6080" t="s">
        <v>223</v>
      </c>
      <c r="G6" s="6080"/>
      <c r="H6" s="6080"/>
      <c r="I6" s="6080" t="s">
        <v>224</v>
      </c>
      <c r="J6" s="6080"/>
      <c r="K6" s="6081"/>
      <c r="L6" s="6230" t="s">
        <v>225</v>
      </c>
      <c r="M6" s="6080"/>
      <c r="N6" s="6080"/>
      <c r="O6" s="6080" t="s">
        <v>226</v>
      </c>
      <c r="P6" s="6080"/>
      <c r="Q6" s="6081"/>
      <c r="R6" s="6230" t="s">
        <v>227</v>
      </c>
      <c r="S6" s="6080"/>
      <c r="T6" s="6080"/>
      <c r="U6" s="6080" t="s">
        <v>228</v>
      </c>
      <c r="V6" s="6080"/>
      <c r="W6" s="6080"/>
      <c r="X6" s="6583" t="s">
        <v>229</v>
      </c>
      <c r="Y6" s="6583"/>
      <c r="Z6" s="6584"/>
    </row>
    <row r="7" spans="1:26">
      <c r="A7" s="6549"/>
      <c r="B7" s="6294"/>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04" t="s">
        <v>220</v>
      </c>
      <c r="Y7" s="5905" t="s">
        <v>221</v>
      </c>
      <c r="Z7" s="5906" t="s">
        <v>222</v>
      </c>
    </row>
    <row r="8" spans="1:26"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9">
        <f t="shared" ref="K8" si="1">SUM(K12+K18+K31+K32)</f>
        <v>11751651.907</v>
      </c>
      <c r="L8" s="5464">
        <f>SUM(M8:N8)</f>
        <v>29386371.881463431</v>
      </c>
      <c r="M8" s="4918">
        <f>SUM(M12+M18+M31+M32)</f>
        <v>17414770.464828283</v>
      </c>
      <c r="N8" s="4918">
        <f t="shared" ref="N8" si="2">SUM(N12+N18+N31+N32)</f>
        <v>11971601.41663515</v>
      </c>
      <c r="O8" s="4918">
        <f>SUM(P8:Q8)</f>
        <v>30136566.406822234</v>
      </c>
      <c r="P8" s="4918">
        <f>SUM(P12+P18+P31+P32)</f>
        <v>17871125.956189539</v>
      </c>
      <c r="Q8" s="4919">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16">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17">
        <f>H19</f>
        <v>4430923</v>
      </c>
      <c r="L19" s="1828">
        <f>SUM(M19:N19)</f>
        <v>11180411</v>
      </c>
      <c r="M19" s="45">
        <f>+'Phụ lục số 1'!AA58</f>
        <v>6749488</v>
      </c>
      <c r="N19" s="4808">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5617">
        <f>+'Phụ lục số 7'!E38</f>
        <v>1681469</v>
      </c>
      <c r="L20" s="1828">
        <f>SUM(M20:N20)</f>
        <v>3798064</v>
      </c>
      <c r="M20" s="45">
        <f>+'Phụ lục số 1'!AA60</f>
        <v>2116595</v>
      </c>
      <c r="N20" s="4808">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5618"/>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5618"/>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5618">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04">
        <f>+'Phụ lục số 1'!U67</f>
        <v>35905</v>
      </c>
      <c r="K27" s="5618"/>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18"/>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18">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02">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09">
        <f>+I36+I37+I39+I41+I42</f>
        <v>4666890</v>
      </c>
      <c r="J35" s="4809">
        <f t="shared" ref="J35:K35" si="51">+J36+J37+J39+J41+J42</f>
        <v>2983390</v>
      </c>
      <c r="K35" s="5308">
        <f t="shared" si="51"/>
        <v>1683500</v>
      </c>
      <c r="L35" s="5610">
        <f>+L36+L37+L39+L41+L42</f>
        <v>5207212.043456913</v>
      </c>
      <c r="M35" s="4809">
        <f t="shared" ref="M35:N35" si="52">+M36+M37+M39+M41+M42</f>
        <v>3357212.043456913</v>
      </c>
      <c r="N35" s="4809">
        <f t="shared" si="52"/>
        <v>1850000</v>
      </c>
      <c r="O35" s="4809">
        <f>+O36+O37+O39+O41+O42</f>
        <v>5338707.7565428363</v>
      </c>
      <c r="P35" s="4809">
        <f>+P36+P37+P39+P41+P42</f>
        <v>3460943.7757059</v>
      </c>
      <c r="Q35" s="5308">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5619">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10">
        <f t="shared" ref="I37:I42" si="57">SUM(J37:K37)</f>
        <v>1600000</v>
      </c>
      <c r="J37" s="2917">
        <f>+'Phụ lục số 2'!P12</f>
        <v>506500</v>
      </c>
      <c r="K37" s="5619">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35" t="s">
        <v>3189</v>
      </c>
      <c r="C38" s="1620"/>
      <c r="D38" s="1620"/>
      <c r="E38" s="1620"/>
      <c r="F38" s="193"/>
      <c r="G38" s="193"/>
      <c r="H38" s="193"/>
      <c r="I38" s="4975">
        <f t="shared" si="57"/>
        <v>160000</v>
      </c>
      <c r="J38" s="5166">
        <f>+'Phụ lục số 2'!P13</f>
        <v>160000</v>
      </c>
      <c r="K38" s="5620">
        <f>+'Phụ lục số 2'!Q13</f>
        <v>0</v>
      </c>
      <c r="L38" s="1829">
        <f>+M38+N38</f>
        <v>180000</v>
      </c>
      <c r="M38" s="5122">
        <f>+'Phụ lục số 2'!U13</f>
        <v>180000</v>
      </c>
      <c r="N38" s="5122">
        <f>+'Phụ lục số 2'!V13</f>
        <v>0</v>
      </c>
      <c r="O38" s="193">
        <f>+P38+Q38</f>
        <v>180000</v>
      </c>
      <c r="P38" s="5122">
        <f>+'Phụ lục số 2'!Z13</f>
        <v>180000</v>
      </c>
      <c r="Q38" s="2626">
        <f>+'Phụ lục số 2'!AA13</f>
        <v>0</v>
      </c>
      <c r="R38" s="1829">
        <f>+S38+T38</f>
        <v>180000</v>
      </c>
      <c r="S38" s="193">
        <f>+'Phụ lục số 2'!AE13</f>
        <v>180000</v>
      </c>
      <c r="T38" s="46">
        <f>+'Phụ lục số 2'!AF13</f>
        <v>0</v>
      </c>
      <c r="U38" s="193">
        <f>+V38+W38</f>
        <v>195000</v>
      </c>
      <c r="V38" s="5122">
        <f>+'Phụ lục số 2'!AJ13</f>
        <v>195000</v>
      </c>
      <c r="W38" s="5122">
        <f>+'Phụ lục số 2'!AK13</f>
        <v>0</v>
      </c>
      <c r="X38" s="193">
        <f>+Y38+Z38</f>
        <v>210000</v>
      </c>
      <c r="Y38" s="5122">
        <f>+'Phụ lục số 2'!AO13</f>
        <v>210000</v>
      </c>
      <c r="Z38" s="5122">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10">
        <f t="shared" si="57"/>
        <v>2100000</v>
      </c>
      <c r="J39" s="2917">
        <f>+'Phụ lục số 2'!P14</f>
        <v>2100000</v>
      </c>
      <c r="K39" s="5619">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56" t="s">
        <v>3188</v>
      </c>
      <c r="C40" s="1620"/>
      <c r="D40" s="1620"/>
      <c r="E40" s="1620"/>
      <c r="F40" s="193"/>
      <c r="G40" s="193"/>
      <c r="H40" s="193"/>
      <c r="I40" s="4975">
        <f t="shared" si="57"/>
        <v>100000</v>
      </c>
      <c r="J40" s="5166">
        <f>+'Phụ lục số 2'!P15</f>
        <v>100000</v>
      </c>
      <c r="K40" s="5620">
        <f>+'Phụ lục số 2'!Q15</f>
        <v>0</v>
      </c>
      <c r="L40" s="1829">
        <f>+M40+N40</f>
        <v>120000</v>
      </c>
      <c r="M40" s="5122">
        <f>+'Phụ lục số 2'!U15</f>
        <v>120000</v>
      </c>
      <c r="N40" s="5122">
        <f>+'Phụ lục số 2'!V15</f>
        <v>0</v>
      </c>
      <c r="O40" s="46">
        <f>SUM(P40:Q40)</f>
        <v>135000</v>
      </c>
      <c r="P40" s="5122">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22">
        <f>+'Phụ lục số 2'!AO15</f>
        <v>200000</v>
      </c>
      <c r="Z40" s="5122">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10">
        <f t="shared" si="57"/>
        <v>0</v>
      </c>
      <c r="J41" s="2917">
        <f>+'Phụ lục số 2'!P16</f>
        <v>0</v>
      </c>
      <c r="K41" s="5619">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10">
        <f t="shared" si="57"/>
        <v>0</v>
      </c>
      <c r="J42" s="2917">
        <f>SUM(J43:J46)</f>
        <v>0</v>
      </c>
      <c r="K42" s="5619">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5619">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892" t="s">
        <v>3127</v>
      </c>
      <c r="B44" s="4780" t="s">
        <v>3141</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892" t="s">
        <v>3143</v>
      </c>
      <c r="B45" s="4780"/>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892"/>
      <c r="B46" s="4780"/>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11">
        <f>SUM(M47:N47)</f>
        <v>13049829.156114887</v>
      </c>
      <c r="M47" s="1651">
        <f>+'Phụ lục số 2'!U22</f>
        <v>3820034.4829255408</v>
      </c>
      <c r="N47" s="1651">
        <f>+'Phụ lục số 2'!V22</f>
        <v>9229794.6731893476</v>
      </c>
      <c r="O47" s="4431">
        <f>SUM(P47:Q47)</f>
        <v>13492052.394947084</v>
      </c>
      <c r="P47" s="4431">
        <f>+'Phụ lục số 2'!Z22</f>
        <v>3974345.9902827819</v>
      </c>
      <c r="Q47" s="4932">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34">
        <v>12335657</v>
      </c>
      <c r="AD47" s="5135">
        <f>+AC47-I47</f>
        <v>-426000.45000000298</v>
      </c>
    </row>
    <row r="48" spans="1:30">
      <c r="A48" s="611"/>
      <c r="B48" s="1923" t="s">
        <v>234</v>
      </c>
      <c r="C48" s="196"/>
      <c r="D48" s="196"/>
      <c r="E48" s="196"/>
      <c r="F48" s="46"/>
      <c r="G48" s="46"/>
      <c r="H48" s="46"/>
      <c r="I48" s="328"/>
      <c r="J48" s="328"/>
      <c r="K48" s="1656"/>
      <c r="L48" s="5612"/>
      <c r="M48" s="1653"/>
      <c r="N48" s="1653"/>
      <c r="O48" s="2283">
        <f t="shared" ref="O48:O50" si="69">SUM(P48:Q48)</f>
        <v>0</v>
      </c>
      <c r="P48" s="2283"/>
      <c r="Q48" s="4933"/>
      <c r="R48" s="1827"/>
      <c r="S48" s="46"/>
      <c r="T48" s="46"/>
      <c r="U48" s="297"/>
      <c r="V48" s="297"/>
      <c r="W48" s="297"/>
      <c r="X48" s="328"/>
      <c r="Y48" s="328"/>
      <c r="Z48" s="1656"/>
      <c r="AC48" s="5134">
        <v>5859513</v>
      </c>
      <c r="AD48" s="5135">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12">
        <f>SUM(M49:N49)</f>
        <v>5918101.9564761929</v>
      </c>
      <c r="M49" s="1653">
        <f>+'Phụ lục số 2'!U23</f>
        <v>1139028.3534760615</v>
      </c>
      <c r="N49" s="1653">
        <f>+'Phụ lục số 2'!V23</f>
        <v>4779073.6030001314</v>
      </c>
      <c r="O49" s="2283">
        <f t="shared" si="69"/>
        <v>6106259.8643117491</v>
      </c>
      <c r="P49" s="2283">
        <f>+'Phụ lục số 2'!Z23</f>
        <v>1183093.2973419931</v>
      </c>
      <c r="Q49" s="4933">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12">
        <f>SUM(M50:N50)</f>
        <v>32222.979860186198</v>
      </c>
      <c r="M50" s="1653">
        <f>+'Phụ lục số 2'!U24</f>
        <v>32222.979860186198</v>
      </c>
      <c r="N50" s="1653">
        <f>'Phụ lục số II'!V19</f>
        <v>0</v>
      </c>
      <c r="O50" s="2283">
        <f t="shared" si="69"/>
        <v>33469.572005499278</v>
      </c>
      <c r="P50" s="2283">
        <f>+'Phụ lục số 2'!Z24</f>
        <v>33469.572005499278</v>
      </c>
      <c r="Q50" s="4933">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13">
        <f t="shared" ref="L51" si="78">SUM(M51:N51)</f>
        <v>7099504.2197785098</v>
      </c>
      <c r="M51" s="5321">
        <f>M47-M49-M50</f>
        <v>2648783.1495892932</v>
      </c>
      <c r="N51" s="5321">
        <f t="shared" ref="N51" si="79">N47-N49-N50</f>
        <v>4450721.0701892162</v>
      </c>
      <c r="O51" s="5321">
        <f t="shared" ref="O51" si="80">SUM(P51:Q51)</f>
        <v>7352322.9586298354</v>
      </c>
      <c r="P51" s="5321">
        <f>P47-P49-P50</f>
        <v>2757783.1209352897</v>
      </c>
      <c r="Q51" s="5322">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1">
        <f>+'Phụ lục số 2'!U39</f>
        <v>202308.50969414107</v>
      </c>
      <c r="N53" s="4431">
        <f>+'Phụ lục số 2'!V39</f>
        <v>423808.64281757525</v>
      </c>
      <c r="O53" s="1658">
        <f>SUM(P53:Q53)</f>
        <v>789623.5261911191</v>
      </c>
      <c r="P53" s="4431">
        <f>+'Phụ lục số 2'!Z39</f>
        <v>394092.17037477036</v>
      </c>
      <c r="Q53" s="4932">
        <f>+'Phụ lục số 2'!AA39</f>
        <v>395531.35581634869</v>
      </c>
      <c r="R53" s="1828">
        <f>SUM(S53:T53)</f>
        <v>1134327.0610566589</v>
      </c>
      <c r="S53" s="45">
        <f>+'Phụ lục số 2'!AE39</f>
        <v>403102.79576516763</v>
      </c>
      <c r="T53" s="45">
        <f>+'Phụ lục số 2'!AF39</f>
        <v>731224.26529149117</v>
      </c>
      <c r="U53" s="5907">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1">
        <f>+'Phụ lục số 2'!U37</f>
        <v>2000</v>
      </c>
      <c r="N55" s="4431">
        <f>+'Phụ lục số 2'!V37</f>
        <v>0</v>
      </c>
      <c r="O55" s="329">
        <f>SUM(P55:Q55)</f>
        <v>2000</v>
      </c>
      <c r="P55" s="4431">
        <f>+'Phụ lục số 2'!Z37</f>
        <v>2000</v>
      </c>
      <c r="Q55" s="4932">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1">
        <f>+'Phụ lục số 2'!U38</f>
        <v>168756.52231412186</v>
      </c>
      <c r="N56" s="4431">
        <f>+'Phụ lục số 2'!V38</f>
        <v>213613.1009426176</v>
      </c>
      <c r="O56" s="329">
        <f t="shared" ref="O56:O57" si="85">SUM(P56:Q56)</f>
        <v>395338.82020193478</v>
      </c>
      <c r="P56" s="4431">
        <f>+'Phụ lục số 2'!Z38</f>
        <v>175285.11017594975</v>
      </c>
      <c r="Q56" s="4932">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15">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1">
        <f>+'Phụ lục số 2'!U36</f>
        <v>3500</v>
      </c>
      <c r="N57" s="4431">
        <f>+'Phụ lục số 2'!V36</f>
        <v>0</v>
      </c>
      <c r="O57" s="329">
        <f t="shared" si="85"/>
        <v>3500</v>
      </c>
      <c r="P57" s="4431">
        <f>+'Phụ lục số 2'!Z36</f>
        <v>3500</v>
      </c>
      <c r="Q57" s="4932">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5110"/>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3233</v>
      </c>
      <c r="C70" s="195"/>
      <c r="D70" s="45"/>
      <c r="E70" s="46"/>
      <c r="F70" s="45"/>
      <c r="G70" s="45"/>
      <c r="H70" s="45"/>
      <c r="I70" s="4431">
        <f>SUM(J70:K70)</f>
        <v>5553.7960000000003</v>
      </c>
      <c r="J70" s="4431">
        <f>+'Phụ lục số 2'!P51</f>
        <v>5553.7960000000003</v>
      </c>
      <c r="K70" s="4932">
        <f>+'Phụ lục số 2'!Q51</f>
        <v>0</v>
      </c>
      <c r="L70" s="1834">
        <f>+M70+N70</f>
        <v>0</v>
      </c>
      <c r="M70" s="329">
        <f>+'Phụ lục số 2'!U51</f>
        <v>0</v>
      </c>
      <c r="N70" s="329">
        <f>+'Phụ lục số 2'!V51</f>
        <v>0</v>
      </c>
      <c r="O70" s="329">
        <f>+P70+Q70</f>
        <v>0</v>
      </c>
      <c r="P70" s="329">
        <f>+'Phụ lục số 2'!Z51</f>
        <v>0</v>
      </c>
      <c r="Q70" s="1657">
        <f>+'Phụ lục số 2'!AA51</f>
        <v>0</v>
      </c>
      <c r="R70" s="5180"/>
      <c r="S70" s="5181"/>
      <c r="T70" s="5182"/>
      <c r="U70" s="5181"/>
      <c r="V70" s="5181"/>
      <c r="W70" s="5182"/>
      <c r="X70" s="5181"/>
      <c r="Y70" s="5181"/>
      <c r="Z70" s="5255"/>
    </row>
    <row r="71" spans="1:30" s="1644" customForma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621">
        <f>K8-K33-K72</f>
        <v>-3.7252902984619141E-9</v>
      </c>
      <c r="L71" s="5614">
        <f>M71+N71</f>
        <v>-8.7682716548442841E-4</v>
      </c>
      <c r="M71" s="2699">
        <f>M8-M33</f>
        <v>-5.6243687868118286E-4</v>
      </c>
      <c r="N71" s="2699">
        <f>N8-N33</f>
        <v>-3.1439028680324554E-4</v>
      </c>
      <c r="O71" s="2699">
        <f>P71+Q71</f>
        <v>1.939261332154274E-3</v>
      </c>
      <c r="P71" s="5899">
        <f>P8-P33</f>
        <v>2.6501379907131195E-3</v>
      </c>
      <c r="Q71" s="5896">
        <f>Q8-Q33</f>
        <v>-7.1087665855884552E-4</v>
      </c>
      <c r="R71" s="5902">
        <f>S71+T71</f>
        <v>-4.2503513395786285E-4</v>
      </c>
      <c r="S71" s="5899">
        <f>S8-S33</f>
        <v>1.9289180636405945E-4</v>
      </c>
      <c r="T71" s="5899">
        <f>T8-T33</f>
        <v>-6.179269403219223E-4</v>
      </c>
      <c r="U71" s="2699">
        <f>V71+W71</f>
        <v>7.3439851403236389E-3</v>
      </c>
      <c r="V71" s="5899">
        <f>V8-V33</f>
        <v>2.2739991545677185E-3</v>
      </c>
      <c r="W71" s="5903">
        <f>W8-W33</f>
        <v>5.0699859857559204E-3</v>
      </c>
      <c r="X71" s="2699">
        <f>Y71+Z71</f>
        <v>3.2603424042463303E-3</v>
      </c>
      <c r="Y71" s="5899">
        <f>Y8-Y33</f>
        <v>2.6371963322162628E-3</v>
      </c>
      <c r="Z71" s="5896">
        <f>Z8-Z33</f>
        <v>6.2314607203006744E-4</v>
      </c>
    </row>
    <row r="72" spans="1:30" ht="18.600000000000001" thickBot="1">
      <c r="A72" s="632" t="s">
        <v>46</v>
      </c>
      <c r="B72" s="2632" t="s">
        <v>347</v>
      </c>
      <c r="C72" s="4910"/>
      <c r="D72" s="4911"/>
      <c r="E72" s="4911"/>
      <c r="F72" s="1823"/>
      <c r="G72" s="4912"/>
      <c r="H72" s="4912"/>
      <c r="I72" s="4913">
        <f>SUM(J72:K72)</f>
        <v>186700</v>
      </c>
      <c r="J72" s="4913">
        <f>+'Phụ lục số 2'!P52</f>
        <v>186700</v>
      </c>
      <c r="K72" s="5622">
        <f>+'Phụ lục số 2'!Q52</f>
        <v>0</v>
      </c>
      <c r="L72" s="5615">
        <f>SUM(M72:N72)</f>
        <v>0</v>
      </c>
      <c r="M72" s="4914">
        <f>+'Phụ lục số 2'!U52</f>
        <v>0</v>
      </c>
      <c r="N72" s="4914">
        <f>+'Phụ lục số 2'!V52</f>
        <v>0</v>
      </c>
      <c r="O72" s="4914">
        <f>SUM(P72:Q72)</f>
        <v>0</v>
      </c>
      <c r="P72" s="4914">
        <f>+'Phụ lục số 2'!Z52</f>
        <v>0</v>
      </c>
      <c r="Q72" s="2633">
        <f>+'Phụ lục số 2'!AA52</f>
        <v>0</v>
      </c>
      <c r="R72" s="5900"/>
      <c r="S72" s="4914"/>
      <c r="T72" s="5901"/>
      <c r="U72" s="4914"/>
      <c r="V72" s="4914"/>
      <c r="W72" s="5901"/>
      <c r="X72" s="4914"/>
      <c r="Y72" s="4914"/>
      <c r="Z72" s="4915"/>
    </row>
    <row r="73" spans="1:30" ht="18.600000000000001" thickTop="1">
      <c r="A73" s="1638"/>
      <c r="B73" s="2733"/>
      <c r="C73" s="5156"/>
      <c r="D73" s="5157"/>
      <c r="E73" s="5157"/>
      <c r="F73" s="5158"/>
      <c r="G73" s="5159"/>
      <c r="H73" s="5159"/>
      <c r="I73" s="5160"/>
      <c r="J73" s="5160"/>
      <c r="K73" s="5160"/>
      <c r="L73" s="5161"/>
      <c r="M73" s="5161"/>
      <c r="N73" s="2770"/>
      <c r="O73" s="5161"/>
      <c r="P73" s="5161"/>
      <c r="Q73" s="2750"/>
      <c r="R73" s="5161"/>
      <c r="S73" s="5161"/>
      <c r="T73" s="2770"/>
      <c r="U73" s="5161"/>
      <c r="V73" s="5161"/>
      <c r="W73" s="2770"/>
      <c r="X73" s="5161"/>
      <c r="Y73" s="5161"/>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082" t="s">
        <v>304</v>
      </c>
      <c r="G78" s="6082"/>
      <c r="H78" s="6082"/>
      <c r="I78" s="6082" t="s">
        <v>297</v>
      </c>
      <c r="J78" s="6082"/>
      <c r="K78" s="6082"/>
      <c r="L78" s="6082" t="s">
        <v>299</v>
      </c>
      <c r="M78" s="6082"/>
      <c r="N78" s="6082"/>
      <c r="O78" s="6082" t="s">
        <v>300</v>
      </c>
      <c r="P78" s="6082"/>
      <c r="Q78" s="6082"/>
      <c r="R78" s="6082" t="s">
        <v>301</v>
      </c>
      <c r="S78" s="6082"/>
      <c r="T78" s="6082"/>
      <c r="U78" s="6082" t="s">
        <v>302</v>
      </c>
      <c r="V78" s="6082"/>
      <c r="W78" s="6082"/>
      <c r="X78" s="6082" t="s">
        <v>303</v>
      </c>
      <c r="Y78" s="6082"/>
      <c r="Z78" s="6082"/>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09">
        <f>+M107-M33</f>
        <v>0.399437565356493</v>
      </c>
      <c r="N108" s="5908">
        <f>+N107-N33</f>
        <v>421099.99968561344</v>
      </c>
      <c r="O108" s="679"/>
      <c r="P108" s="5908">
        <f>+P107-P33</f>
        <v>-202308.10704400018</v>
      </c>
      <c r="Q108" s="1536"/>
    </row>
    <row r="109" spans="2:17" hidden="1">
      <c r="H109" s="4805"/>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058" t="s">
        <v>230</v>
      </c>
      <c r="B1" s="6058"/>
      <c r="C1" s="6058"/>
      <c r="D1" s="6058"/>
      <c r="E1" s="6058"/>
      <c r="F1" s="6058"/>
      <c r="G1" s="6058"/>
      <c r="H1" s="6058"/>
      <c r="I1" s="6058"/>
      <c r="J1" s="6058"/>
      <c r="K1" s="6058"/>
    </row>
    <row r="2" spans="1:29" ht="16.2">
      <c r="A2" s="6591" t="s">
        <v>231</v>
      </c>
      <c r="B2" s="6591"/>
      <c r="C2" s="6591"/>
      <c r="D2" s="6591"/>
      <c r="E2" s="6591"/>
      <c r="F2" s="6591"/>
      <c r="G2" s="6591"/>
      <c r="H2" s="6591"/>
      <c r="I2" s="6591"/>
      <c r="J2" s="6591"/>
      <c r="K2" s="6591"/>
    </row>
    <row r="3" spans="1:29">
      <c r="A3" s="6579">
        <f>'Phụ lục số III-CĐC'!A3:K3</f>
        <v>0</v>
      </c>
      <c r="B3" s="6579"/>
      <c r="C3" s="6579"/>
      <c r="D3" s="6579"/>
      <c r="E3" s="6579"/>
      <c r="F3" s="6579"/>
      <c r="G3" s="6579"/>
      <c r="H3" s="6579"/>
      <c r="I3" s="6579"/>
      <c r="J3" s="6579"/>
      <c r="K3" s="6579"/>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592" t="s">
        <v>200</v>
      </c>
      <c r="B6" s="6594" t="s">
        <v>201</v>
      </c>
      <c r="C6" s="6596" t="s">
        <v>219</v>
      </c>
      <c r="D6" s="6596"/>
      <c r="E6" s="6596"/>
      <c r="F6" s="6596" t="s">
        <v>223</v>
      </c>
      <c r="G6" s="6596"/>
      <c r="H6" s="6596"/>
      <c r="I6" s="6586" t="s">
        <v>224</v>
      </c>
      <c r="J6" s="6586"/>
      <c r="K6" s="6587"/>
      <c r="L6" s="6585" t="s">
        <v>225</v>
      </c>
      <c r="M6" s="6586"/>
      <c r="N6" s="6586"/>
      <c r="O6" s="6586" t="s">
        <v>226</v>
      </c>
      <c r="P6" s="6586"/>
      <c r="Q6" s="6587"/>
      <c r="R6" s="6588" t="s">
        <v>227</v>
      </c>
      <c r="S6" s="6589"/>
      <c r="T6" s="6589"/>
      <c r="U6" s="6589" t="s">
        <v>228</v>
      </c>
      <c r="V6" s="6589"/>
      <c r="W6" s="6589"/>
      <c r="X6" s="6589" t="s">
        <v>229</v>
      </c>
      <c r="Y6" s="6589"/>
      <c r="Z6" s="6590"/>
    </row>
    <row r="7" spans="1:29">
      <c r="A7" s="6593"/>
      <c r="B7" s="6595"/>
      <c r="C7" s="5623" t="s">
        <v>220</v>
      </c>
      <c r="D7" s="5624" t="s">
        <v>221</v>
      </c>
      <c r="E7" s="5624" t="s">
        <v>222</v>
      </c>
      <c r="F7" s="5625" t="s">
        <v>220</v>
      </c>
      <c r="G7" s="5626" t="s">
        <v>221</v>
      </c>
      <c r="H7" s="5626" t="s">
        <v>222</v>
      </c>
      <c r="I7" s="5625" t="s">
        <v>220</v>
      </c>
      <c r="J7" s="5626" t="s">
        <v>221</v>
      </c>
      <c r="K7" s="5627" t="s">
        <v>222</v>
      </c>
      <c r="L7" s="5766" t="s">
        <v>220</v>
      </c>
      <c r="M7" s="5626" t="s">
        <v>221</v>
      </c>
      <c r="N7" s="5626" t="s">
        <v>222</v>
      </c>
      <c r="O7" s="5625" t="s">
        <v>220</v>
      </c>
      <c r="P7" s="5626" t="s">
        <v>221</v>
      </c>
      <c r="Q7" s="5627" t="s">
        <v>222</v>
      </c>
      <c r="R7" s="5628" t="s">
        <v>220</v>
      </c>
      <c r="S7" s="5629" t="s">
        <v>221</v>
      </c>
      <c r="T7" s="5629" t="s">
        <v>222</v>
      </c>
      <c r="U7" s="5630" t="s">
        <v>220</v>
      </c>
      <c r="V7" s="5629" t="s">
        <v>221</v>
      </c>
      <c r="W7" s="5629" t="s">
        <v>222</v>
      </c>
      <c r="X7" s="5631" t="s">
        <v>220</v>
      </c>
      <c r="Y7" s="5632" t="s">
        <v>221</v>
      </c>
      <c r="Z7" s="5633" t="s">
        <v>222</v>
      </c>
    </row>
    <row r="8" spans="1:29" s="5640" customFormat="1">
      <c r="A8" s="5634" t="s">
        <v>1</v>
      </c>
      <c r="B8" s="5635"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33">
        <f>SUM(K12+K18+K31+K32)</f>
        <v>4673300</v>
      </c>
      <c r="L8" s="5767">
        <f>SUM(M8:N8)</f>
        <v>22308019.974463433</v>
      </c>
      <c r="M8" s="1589">
        <f>SUM(M12+M18+M31+M32)</f>
        <v>17414770.464828283</v>
      </c>
      <c r="N8" s="1589">
        <f t="shared" ref="N8" si="1">SUM(N12+N18+N31+N32)</f>
        <v>4893249.5096351504</v>
      </c>
      <c r="O8" s="1589">
        <f>SUM(P8:Q8)</f>
        <v>23058214.499822237</v>
      </c>
      <c r="P8" s="1589">
        <f>SUM(P12+P18+P31+P32)</f>
        <v>17871125.956189539</v>
      </c>
      <c r="Q8" s="5636">
        <f t="shared" ref="Q8" si="2">SUM(Q12+Q18+Q31+Q32)</f>
        <v>5187088.5436326973</v>
      </c>
      <c r="R8" s="5637">
        <f>SUM(S8:T8)</f>
        <v>23900869.343232721</v>
      </c>
      <c r="S8" s="5638">
        <f>SUM(S12+S18+S31+S32)</f>
        <v>18227957.627650965</v>
      </c>
      <c r="T8" s="5638">
        <f t="shared" ref="T8" si="3">SUM(T12+T18+T31+T32)</f>
        <v>5672911.7155817552</v>
      </c>
      <c r="U8" s="5638">
        <f>SUM(V8:W8)</f>
        <v>25290876.164265126</v>
      </c>
      <c r="V8" s="5638">
        <f>SUM(V12+V18+V31+V32)</f>
        <v>18845391.441466384</v>
      </c>
      <c r="W8" s="5638">
        <f t="shared" ref="W8" si="4">SUM(W12+W18+W31+W32)</f>
        <v>6445484.7227987405</v>
      </c>
      <c r="X8" s="5638">
        <f>SUM(Y8:Z8)</f>
        <v>27317511.623591922</v>
      </c>
      <c r="Y8" s="5638">
        <f>SUM(Y12+Y18+Y31+Y32)</f>
        <v>19918893.923836932</v>
      </c>
      <c r="Z8" s="5639">
        <f t="shared" ref="Z8" si="5">SUM(Z12+Z18+Z31+Z32)</f>
        <v>7398617.6997549897</v>
      </c>
      <c r="AC8" s="5641">
        <f>+I8-I33</f>
        <v>186699.99999999627</v>
      </c>
    </row>
    <row r="9" spans="1:29" s="738" customFormat="1" ht="16.2">
      <c r="A9" s="5642"/>
      <c r="B9" s="5643" t="s">
        <v>234</v>
      </c>
      <c r="C9" s="147"/>
      <c r="D9" s="147"/>
      <c r="E9" s="147"/>
      <c r="F9" s="147"/>
      <c r="G9" s="147"/>
      <c r="H9" s="147"/>
      <c r="I9" s="152"/>
      <c r="J9" s="152"/>
      <c r="K9" s="5552"/>
      <c r="L9" s="5527"/>
      <c r="M9" s="152"/>
      <c r="N9" s="152"/>
      <c r="O9" s="152"/>
      <c r="P9" s="157"/>
      <c r="Q9" s="5547"/>
      <c r="R9" s="5644"/>
      <c r="S9" s="5645"/>
      <c r="T9" s="5645"/>
      <c r="U9" s="5646"/>
      <c r="V9" s="5645"/>
      <c r="W9" s="5645"/>
      <c r="X9" s="5646"/>
      <c r="Y9" s="5645"/>
      <c r="Z9" s="5647"/>
    </row>
    <row r="10" spans="1:29" s="738" customFormat="1">
      <c r="A10" s="5648"/>
      <c r="B10" s="5649"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74">
        <f>SUM(K12,K19,K20,K31)</f>
        <v>4673300</v>
      </c>
      <c r="L10" s="5522">
        <f>SUM(M10:N10)</f>
        <v>17154432.974463433</v>
      </c>
      <c r="M10" s="1591">
        <f>SUM(M12,M19,M29,M31)</f>
        <v>12261183.464828283</v>
      </c>
      <c r="N10" s="1591">
        <f>SUM(N12,N19,N29,N31)</f>
        <v>4893249.5096351504</v>
      </c>
      <c r="O10" s="147">
        <f>SUM(P10:Q10)</f>
        <v>17904627.499822237</v>
      </c>
      <c r="P10" s="1591">
        <f>SUM(P12,P19,P29,P31)</f>
        <v>12717538.956189541</v>
      </c>
      <c r="Q10" s="5650">
        <f>SUM(Q12,Q19,Q29,Q31)</f>
        <v>5187088.5436326973</v>
      </c>
      <c r="R10" s="5651">
        <f>SUM(S10:T10)</f>
        <v>18747282.343232721</v>
      </c>
      <c r="S10" s="5652">
        <f>SUM(S12,S19,S29,S31)</f>
        <v>13074370.627650965</v>
      </c>
      <c r="T10" s="5652">
        <f>SUM(T12,T19,T29,T31)</f>
        <v>5672911.7155817552</v>
      </c>
      <c r="U10" s="5653">
        <f>SUM(V10:W10)</f>
        <v>20137289.164265122</v>
      </c>
      <c r="V10" s="5652">
        <f>SUM(V12,V19,V29,V31)</f>
        <v>13691804.441466382</v>
      </c>
      <c r="W10" s="5652">
        <f>SUM(W12,W19,W29,W31)</f>
        <v>6445484.7227987405</v>
      </c>
      <c r="X10" s="5653">
        <f>SUM(Y10:Z10)</f>
        <v>22163924.623591918</v>
      </c>
      <c r="Y10" s="5652">
        <f>SUM(Y12,Y19,Y29,Y31)</f>
        <v>14765306.92383693</v>
      </c>
      <c r="Z10" s="5654">
        <f>SUM(Z12,Z19,Z29,Z31)</f>
        <v>7398617.6997549897</v>
      </c>
    </row>
    <row r="11" spans="1:29" s="738" customFormat="1">
      <c r="A11" s="5648"/>
      <c r="B11" s="5649"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74">
        <f t="shared" ref="K11" si="8">K10-K14-K15-K16</f>
        <v>3579800</v>
      </c>
      <c r="L11" s="5522">
        <f>SUM(M11:N11)</f>
        <v>13054432.974463433</v>
      </c>
      <c r="M11" s="1591">
        <f>M10-M14-M15-M16</f>
        <v>9421183.4648282826</v>
      </c>
      <c r="N11" s="1591">
        <f t="shared" ref="N11" si="9">N10-N14-N15-N16</f>
        <v>3633249.5096351504</v>
      </c>
      <c r="O11" s="147">
        <f>SUM(P11:Q11)</f>
        <v>13794627.499822238</v>
      </c>
      <c r="P11" s="1591">
        <f>P10-P14-P15-P16</f>
        <v>9867538.9561895411</v>
      </c>
      <c r="Q11" s="5650">
        <f t="shared" ref="Q11" si="10">Q10-Q14-Q15-Q16</f>
        <v>3927088.5436326973</v>
      </c>
      <c r="R11" s="5651">
        <f>SUM(S11:T11)</f>
        <v>14527282.343232721</v>
      </c>
      <c r="S11" s="5652">
        <f>S10-S14-S15-S16</f>
        <v>10114370.627650965</v>
      </c>
      <c r="T11" s="5652">
        <f t="shared" ref="T11" si="11">T10-T14-T15-T16</f>
        <v>4412911.7155817552</v>
      </c>
      <c r="U11" s="5653">
        <f>SUM(V11:W11)</f>
        <v>15607289.164265122</v>
      </c>
      <c r="V11" s="5652">
        <f>V10-V14-V15-V16</f>
        <v>10511804.441466382</v>
      </c>
      <c r="W11" s="5652">
        <f t="shared" ref="W11" si="12">W10-W14-W15-W16</f>
        <v>5095484.7227987405</v>
      </c>
      <c r="X11" s="5653">
        <f>SUM(Y11:Z11)</f>
        <v>16903924.623591918</v>
      </c>
      <c r="Y11" s="5652">
        <f>Y10-Y14-Y15-Y16</f>
        <v>10990306.92383693</v>
      </c>
      <c r="Z11" s="5654">
        <f t="shared" ref="Z11" si="13">Z10-Z14-Z15-Z16</f>
        <v>5913617.6997549897</v>
      </c>
    </row>
    <row r="12" spans="1:29" s="738" customFormat="1">
      <c r="A12" s="5648" t="s">
        <v>3</v>
      </c>
      <c r="B12" s="5649"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52">
        <f>+'Phụ lục số 1'!V10</f>
        <v>3732300</v>
      </c>
      <c r="L12" s="5527">
        <f>SUM(M12:N12)</f>
        <v>9885044.974463433</v>
      </c>
      <c r="M12" s="152">
        <f>+'Phụ lục số 1'!AA10</f>
        <v>5511695.4648282835</v>
      </c>
      <c r="N12" s="152">
        <f>+'Phụ lục số 1'!AB10</f>
        <v>4373349.5096351504</v>
      </c>
      <c r="O12" s="152">
        <f>SUM(P12:Q12)</f>
        <v>10529022.347310523</v>
      </c>
      <c r="P12" s="157">
        <f>+'Phụ lục số 1'!AG10</f>
        <v>5765742.4464954007</v>
      </c>
      <c r="Q12" s="5547">
        <f>+'Phụ lục số 1'!AH10</f>
        <v>4763279.9008151218</v>
      </c>
      <c r="R12" s="5644">
        <f>SUM(S12:T12)</f>
        <v>11208170.817041602</v>
      </c>
      <c r="S12" s="5645">
        <f>+'Phụ lục số 1'!AM10</f>
        <v>5930790.4572761953</v>
      </c>
      <c r="T12" s="5645">
        <f>+'Phụ lục số 1'!AN10</f>
        <v>5277380.3597654067</v>
      </c>
      <c r="U12" s="5646">
        <f>SUM(V12:W12)</f>
        <v>12253474.103208464</v>
      </c>
      <c r="V12" s="5645">
        <f>+'Phụ lục số 1'!AS10</f>
        <v>6539213.6457012147</v>
      </c>
      <c r="W12" s="5645">
        <f>+'Phụ lục số 1'!AT10</f>
        <v>5714260.457507249</v>
      </c>
      <c r="X12" s="5646">
        <f>SUM(Y12:Z12)</f>
        <v>13858943.479451831</v>
      </c>
      <c r="Y12" s="5645">
        <f>+'Phụ lục số 1'!AY10</f>
        <v>7420293.3738592537</v>
      </c>
      <c r="Z12" s="5645">
        <f>+'Phụ lục số 1'!AZ10</f>
        <v>6438650.1055925777</v>
      </c>
    </row>
    <row r="13" spans="1:29">
      <c r="A13" s="5648"/>
      <c r="B13" s="5649" t="s">
        <v>186</v>
      </c>
      <c r="C13" s="152"/>
      <c r="D13" s="152"/>
      <c r="E13" s="152"/>
      <c r="F13" s="152"/>
      <c r="G13" s="152"/>
      <c r="H13" s="152"/>
      <c r="I13" s="152"/>
      <c r="J13" s="152"/>
      <c r="K13" s="5552"/>
      <c r="L13" s="5527"/>
      <c r="M13" s="152"/>
      <c r="N13" s="152"/>
      <c r="O13" s="152"/>
      <c r="P13" s="157"/>
      <c r="Q13" s="5547"/>
      <c r="R13" s="5644"/>
      <c r="S13" s="5645"/>
      <c r="T13" s="5645"/>
      <c r="U13" s="5646"/>
      <c r="V13" s="5645"/>
      <c r="W13" s="5645"/>
      <c r="X13" s="5646"/>
      <c r="Y13" s="5645"/>
      <c r="Z13" s="5647"/>
    </row>
    <row r="14" spans="1:29" s="204" customFormat="1">
      <c r="A14" s="5655"/>
      <c r="B14" s="5656"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75">
        <f>+'Phụ lục số 1'!V42</f>
        <v>1093500</v>
      </c>
      <c r="L14" s="5703">
        <f>SUM(M14:N14)</f>
        <v>1800000</v>
      </c>
      <c r="M14" s="263">
        <f>+'Phụ lục số 1'!AA42</f>
        <v>540000</v>
      </c>
      <c r="N14" s="263">
        <f>+'Phụ lục số 1'!AB42</f>
        <v>1260000</v>
      </c>
      <c r="O14" s="263">
        <f>SUM(P14:Q14)</f>
        <v>1800000</v>
      </c>
      <c r="P14" s="171">
        <f>+'Phụ lục số 1'!AG42</f>
        <v>540000</v>
      </c>
      <c r="Q14" s="5551">
        <f>+'Phụ lục số 1'!AH42</f>
        <v>1260000</v>
      </c>
      <c r="R14" s="5657">
        <f>SUM(S14:T14)</f>
        <v>1800000</v>
      </c>
      <c r="S14" s="5658">
        <f>+'Phụ lục số 1'!AM42</f>
        <v>540000</v>
      </c>
      <c r="T14" s="5658">
        <f>+'Phụ lục số 1'!AN42</f>
        <v>1260000</v>
      </c>
      <c r="U14" s="5659">
        <f>SUM(V14:W14)</f>
        <v>1950000</v>
      </c>
      <c r="V14" s="5658">
        <f>+'Phụ lục số 1'!AS42</f>
        <v>600000</v>
      </c>
      <c r="W14" s="5658">
        <f>+'Phụ lục số 1'!AT42</f>
        <v>1350000</v>
      </c>
      <c r="X14" s="5659">
        <f>SUM(Y14:Z14)</f>
        <v>2100000</v>
      </c>
      <c r="Y14" s="5658">
        <f>+'Phụ lục số 1'!AY42</f>
        <v>615000</v>
      </c>
      <c r="Z14" s="5658">
        <f>+'Phụ lục số 1'!AZ42</f>
        <v>1485000</v>
      </c>
    </row>
    <row r="15" spans="1:29">
      <c r="A15" s="5655"/>
      <c r="B15" s="5660"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75">
        <f>+'Phụ lục số 1'!V50</f>
        <v>0</v>
      </c>
      <c r="L15" s="5703">
        <f t="shared" ref="L15:L17" si="16">SUM(M15:N15)</f>
        <v>2200000</v>
      </c>
      <c r="M15" s="263">
        <f>+'Phụ lục số 1'!AA50</f>
        <v>2200000</v>
      </c>
      <c r="N15" s="263">
        <f>+'Phụ lục số 1'!AB50</f>
        <v>0</v>
      </c>
      <c r="O15" s="263">
        <f t="shared" ref="O15:O17" si="17">SUM(P15:Q15)</f>
        <v>2200000</v>
      </c>
      <c r="P15" s="171">
        <f>+'Phụ lục số 1'!AG50</f>
        <v>2200000</v>
      </c>
      <c r="Q15" s="5551">
        <f>+'Phụ lục số 1'!AH50</f>
        <v>0</v>
      </c>
      <c r="R15" s="5657">
        <f t="shared" ref="R15:R17" si="18">SUM(S15:T15)</f>
        <v>2300000</v>
      </c>
      <c r="S15" s="5658">
        <f>+'Phụ lục số 1'!AM50</f>
        <v>2300000</v>
      </c>
      <c r="T15" s="5658">
        <f>+'Phụ lục số 1'!AN50</f>
        <v>0</v>
      </c>
      <c r="U15" s="5659">
        <f t="shared" ref="U15:U17" si="19">SUM(V15:W15)</f>
        <v>2450000</v>
      </c>
      <c r="V15" s="5658">
        <f>+'Phụ lục số 1'!AS50</f>
        <v>2450000</v>
      </c>
      <c r="W15" s="5658">
        <f>+'Phụ lục số 1'!AT50</f>
        <v>0</v>
      </c>
      <c r="X15" s="5659">
        <f t="shared" ref="X15:X17" si="20">SUM(Y15:Z15)</f>
        <v>3000000</v>
      </c>
      <c r="Y15" s="5658">
        <f>+'Phụ lục số 1'!AY50</f>
        <v>3000000</v>
      </c>
      <c r="Z15" s="5658">
        <f>+'Phụ lục số 1'!AZ50</f>
        <v>0</v>
      </c>
    </row>
    <row r="16" spans="1:29">
      <c r="A16" s="5655"/>
      <c r="B16" s="5660"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75">
        <f>+'Phụ lục số 1'!V47</f>
        <v>0</v>
      </c>
      <c r="L16" s="5703">
        <f t="shared" si="16"/>
        <v>100000</v>
      </c>
      <c r="M16" s="263">
        <f>+'Phụ lục số 1'!AA47</f>
        <v>100000</v>
      </c>
      <c r="N16" s="263">
        <f>+'Phụ lục số 1'!AB47</f>
        <v>0</v>
      </c>
      <c r="O16" s="263">
        <f t="shared" si="17"/>
        <v>110000</v>
      </c>
      <c r="P16" s="171">
        <f>+'Phụ lục số 1'!AG47</f>
        <v>110000</v>
      </c>
      <c r="Q16" s="5551">
        <f>+'Phụ lục số 1'!AH47</f>
        <v>0</v>
      </c>
      <c r="R16" s="5657">
        <f t="shared" si="18"/>
        <v>120000</v>
      </c>
      <c r="S16" s="5658">
        <f>+'Phụ lục số 1'!AM47</f>
        <v>120000</v>
      </c>
      <c r="T16" s="5658">
        <f>+'Phụ lục số 1'!AN47</f>
        <v>0</v>
      </c>
      <c r="U16" s="5659">
        <f t="shared" si="19"/>
        <v>130000</v>
      </c>
      <c r="V16" s="5658">
        <f>+'Phụ lục số 1'!AS47</f>
        <v>130000</v>
      </c>
      <c r="W16" s="5658">
        <f>'Phụ lục số I'!AT47</f>
        <v>0</v>
      </c>
      <c r="X16" s="5659">
        <f t="shared" si="20"/>
        <v>160000</v>
      </c>
      <c r="Y16" s="5658">
        <f>+'Phụ lục số 1'!AY47</f>
        <v>160000</v>
      </c>
      <c r="Z16" s="5658">
        <f>+'Phụ lục số 1'!AZ47</f>
        <v>0</v>
      </c>
    </row>
    <row r="17" spans="1:26">
      <c r="A17" s="5655"/>
      <c r="B17" s="5660"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76">
        <f t="shared" ref="K17" si="23">K12-K14-K15-K16</f>
        <v>2638800</v>
      </c>
      <c r="L17" s="5703">
        <f t="shared" si="16"/>
        <v>5785044.974463434</v>
      </c>
      <c r="M17" s="1593">
        <f>M12-M14-M15-M16</f>
        <v>2671695.4648282835</v>
      </c>
      <c r="N17" s="1593">
        <f t="shared" ref="N17" si="24">N12-N14-N15-N16</f>
        <v>3113349.5096351504</v>
      </c>
      <c r="O17" s="171">
        <f t="shared" si="17"/>
        <v>6419022.3473105226</v>
      </c>
      <c r="P17" s="1593">
        <f>P12-P14-P15-P16</f>
        <v>2915742.4464954007</v>
      </c>
      <c r="Q17" s="5661">
        <f t="shared" ref="Q17" si="25">Q12-Q14-Q15-Q16</f>
        <v>3503279.9008151218</v>
      </c>
      <c r="R17" s="5662">
        <f t="shared" si="18"/>
        <v>6988170.817041602</v>
      </c>
      <c r="S17" s="5663">
        <f>S12-S14-S15-S16</f>
        <v>2970790.4572761953</v>
      </c>
      <c r="T17" s="5663">
        <f t="shared" ref="T17" si="26">T12-T14-T15-T16</f>
        <v>4017380.3597654067</v>
      </c>
      <c r="U17" s="5658">
        <f t="shared" si="19"/>
        <v>7723474.1032084636</v>
      </c>
      <c r="V17" s="5663">
        <f t="shared" ref="V17:W17" si="27">V12-V14-V15-V16</f>
        <v>3359213.6457012147</v>
      </c>
      <c r="W17" s="5663">
        <f t="shared" si="27"/>
        <v>4364260.457507249</v>
      </c>
      <c r="X17" s="5658">
        <f t="shared" si="20"/>
        <v>8598943.4794518314</v>
      </c>
      <c r="Y17" s="5663">
        <f>Y12-Y14-Y15-Y16</f>
        <v>3645293.3738592537</v>
      </c>
      <c r="Z17" s="5664">
        <f t="shared" ref="Z17" si="28">Z12-Z14-Z15-Z16</f>
        <v>4953650.1055925777</v>
      </c>
    </row>
    <row r="18" spans="1:26" s="738" customFormat="1">
      <c r="A18" s="5648" t="s">
        <v>33</v>
      </c>
      <c r="B18" s="5649"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74">
        <f t="shared" ref="K18" si="30">SUM(K19:K21)</f>
        <v>0</v>
      </c>
      <c r="L18" s="5693">
        <f>SUM(L19:L21)</f>
        <v>11903075</v>
      </c>
      <c r="M18" s="1591">
        <f t="shared" ref="M18:N18" si="31">SUM(M19:M21)</f>
        <v>11903075</v>
      </c>
      <c r="N18" s="5665">
        <f t="shared" si="31"/>
        <v>0</v>
      </c>
      <c r="O18" s="147">
        <f>SUM(O19:O21)</f>
        <v>11903075</v>
      </c>
      <c r="P18" s="147">
        <f t="shared" ref="P18:Q18" si="32">SUM(P19:P21)</f>
        <v>11903075</v>
      </c>
      <c r="Q18" s="5666">
        <f t="shared" si="32"/>
        <v>0</v>
      </c>
      <c r="R18" s="5651">
        <f>SUM(R19:R21)</f>
        <v>11903075</v>
      </c>
      <c r="S18" s="5653">
        <f t="shared" ref="S18:Z18" si="33">SUM(S19:S21)</f>
        <v>11903075</v>
      </c>
      <c r="T18" s="5667">
        <f t="shared" si="33"/>
        <v>0</v>
      </c>
      <c r="U18" s="5653">
        <f>SUM(U19:U21)</f>
        <v>11903075</v>
      </c>
      <c r="V18" s="5653">
        <f t="shared" si="33"/>
        <v>11903075</v>
      </c>
      <c r="W18" s="5667">
        <f t="shared" si="33"/>
        <v>0</v>
      </c>
      <c r="X18" s="5653">
        <f>SUM(X19:X21)</f>
        <v>11903075</v>
      </c>
      <c r="Y18" s="5653">
        <f t="shared" si="33"/>
        <v>11903075</v>
      </c>
      <c r="Z18" s="5668">
        <f t="shared" si="33"/>
        <v>0</v>
      </c>
    </row>
    <row r="19" spans="1:26" s="738" customFormat="1">
      <c r="A19" s="5648">
        <v>1</v>
      </c>
      <c r="B19" s="5649"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74">
        <f>+'Phụ lục số 1'!V58</f>
        <v>0</v>
      </c>
      <c r="L19" s="5522">
        <f>SUM(M19:N19)</f>
        <v>6749488</v>
      </c>
      <c r="M19" s="147">
        <f>+'Phụ lục số 1'!AA58</f>
        <v>6749488</v>
      </c>
      <c r="N19" s="5669">
        <f>K19</f>
        <v>0</v>
      </c>
      <c r="O19" s="147">
        <f>SUM(P19:Q19)</f>
        <v>6749488</v>
      </c>
      <c r="P19" s="142">
        <f>+'Phụ lục số 1'!AG58</f>
        <v>6749488</v>
      </c>
      <c r="Q19" s="5548">
        <f>+'Phụ lục số 1'!AH58</f>
        <v>0</v>
      </c>
      <c r="R19" s="5651">
        <f>SUM(S19:T19)</f>
        <v>6749488</v>
      </c>
      <c r="S19" s="5670">
        <f>+'Phụ lục số 1'!AM58</f>
        <v>6749488</v>
      </c>
      <c r="T19" s="5671">
        <f>N19</f>
        <v>0</v>
      </c>
      <c r="U19" s="5653">
        <f>SUM(V19:W19)</f>
        <v>6749488</v>
      </c>
      <c r="V19" s="5670">
        <f>+'Phụ lục số 1'!AS58</f>
        <v>6749488</v>
      </c>
      <c r="W19" s="5670">
        <f>T19</f>
        <v>0</v>
      </c>
      <c r="X19" s="5653">
        <f>SUM(Y19:Z19)</f>
        <v>6749488</v>
      </c>
      <c r="Y19" s="5670">
        <f>+'Phụ lục số 1'!AY58</f>
        <v>6749488</v>
      </c>
      <c r="Z19" s="5672">
        <f>W19</f>
        <v>0</v>
      </c>
    </row>
    <row r="20" spans="1:26" s="738" customFormat="1">
      <c r="A20" s="5648">
        <v>2</v>
      </c>
      <c r="B20" s="5673"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74">
        <f>+'Phụ lục số 1'!V60</f>
        <v>0</v>
      </c>
      <c r="L20" s="5522">
        <f>SUM(M20:N20)</f>
        <v>2116595</v>
      </c>
      <c r="M20" s="147">
        <f>+'Phụ lục số 1'!AA60</f>
        <v>2116595</v>
      </c>
      <c r="N20" s="5669"/>
      <c r="O20" s="147">
        <f>SUM(P20:Q20)</f>
        <v>2116595</v>
      </c>
      <c r="P20" s="142">
        <f>+'Phụ lục số 1'!AG60</f>
        <v>2116595</v>
      </c>
      <c r="Q20" s="5548">
        <f>+'Phụ lục số 1'!AH60</f>
        <v>0</v>
      </c>
      <c r="R20" s="5651">
        <f>+S20+T20</f>
        <v>2116595</v>
      </c>
      <c r="S20" s="5670">
        <f>+'Phụ lục số 1'!AM60</f>
        <v>2116595</v>
      </c>
      <c r="T20" s="5671"/>
      <c r="U20" s="5653">
        <f>+V20+W20</f>
        <v>2116595</v>
      </c>
      <c r="V20" s="5670">
        <f>+'Phụ lục số 1'!AS60</f>
        <v>2116595</v>
      </c>
      <c r="W20" s="5670"/>
      <c r="X20" s="5653">
        <f>+Y20+Z20</f>
        <v>2116595</v>
      </c>
      <c r="Y20" s="5670">
        <f>+'Phụ lục số 1'!AY60</f>
        <v>2116595</v>
      </c>
      <c r="Z20" s="5672"/>
    </row>
    <row r="21" spans="1:26" s="738" customFormat="1">
      <c r="A21" s="5648">
        <v>3</v>
      </c>
      <c r="B21" s="5649"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74">
        <f t="shared" si="36"/>
        <v>0</v>
      </c>
      <c r="L21" s="5693">
        <f>SUM(L22,L25,L28)</f>
        <v>3036992</v>
      </c>
      <c r="M21" s="1591">
        <f t="shared" ref="M21:N21" si="37">SUM(M22,M25,M28)</f>
        <v>3036992</v>
      </c>
      <c r="N21" s="1591">
        <f t="shared" si="37"/>
        <v>0</v>
      </c>
      <c r="O21" s="147">
        <f>SUM(O22,O25,O28)</f>
        <v>3036992</v>
      </c>
      <c r="P21" s="147">
        <f t="shared" ref="P21:Q21" si="38">SUM(P22,P25,P28)</f>
        <v>3036992</v>
      </c>
      <c r="Q21" s="5674">
        <f t="shared" si="38"/>
        <v>0</v>
      </c>
      <c r="R21" s="5651">
        <f>SUM(R22,R25,R28)</f>
        <v>3036992</v>
      </c>
      <c r="S21" s="5653">
        <f t="shared" ref="S21:T21" si="39">SUM(S22,S25,S28)</f>
        <v>3036992</v>
      </c>
      <c r="T21" s="5653">
        <f t="shared" si="39"/>
        <v>0</v>
      </c>
      <c r="U21" s="5653">
        <f>SUM(U22,U25,U28)</f>
        <v>3036992</v>
      </c>
      <c r="V21" s="5653">
        <f t="shared" ref="V21:W21" si="40">SUM(V22,V25,V28)</f>
        <v>3036992</v>
      </c>
      <c r="W21" s="5653">
        <f t="shared" si="40"/>
        <v>0</v>
      </c>
      <c r="X21" s="5653">
        <f>SUM(X22,X25,X28)</f>
        <v>3036992</v>
      </c>
      <c r="Y21" s="5653">
        <f t="shared" ref="Y21:Z21" si="41">SUM(Y22,Y25,Y28)</f>
        <v>3036992</v>
      </c>
      <c r="Z21" s="5675">
        <f t="shared" si="41"/>
        <v>0</v>
      </c>
    </row>
    <row r="22" spans="1:26" s="204" customFormat="1">
      <c r="A22" s="5676" t="s">
        <v>204</v>
      </c>
      <c r="B22" s="5677"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52">
        <f t="shared" si="44"/>
        <v>0</v>
      </c>
      <c r="L22" s="5718">
        <f>SUM(L23:L24)</f>
        <v>2530494</v>
      </c>
      <c r="M22" s="1597">
        <f t="shared" ref="M22:N22" si="45">SUM(M23:M24)</f>
        <v>2530494</v>
      </c>
      <c r="N22" s="1597">
        <f t="shared" si="45"/>
        <v>0</v>
      </c>
      <c r="O22" s="152">
        <f>SUM(O23:O24)</f>
        <v>2530494</v>
      </c>
      <c r="P22" s="152">
        <f t="shared" ref="P22:Q22" si="46">SUM(P23:P24)</f>
        <v>2530494</v>
      </c>
      <c r="Q22" s="5552">
        <f t="shared" si="46"/>
        <v>0</v>
      </c>
      <c r="R22" s="5644">
        <f>SUM(R23:R24)</f>
        <v>2530494</v>
      </c>
      <c r="S22" s="5646">
        <f t="shared" ref="S22:T22" si="47">SUM(S23:S24)</f>
        <v>2530494</v>
      </c>
      <c r="T22" s="5646">
        <f t="shared" si="47"/>
        <v>0</v>
      </c>
      <c r="U22" s="5646">
        <f>SUM(U23:U24)</f>
        <v>2530494</v>
      </c>
      <c r="V22" s="5646">
        <f t="shared" ref="V22:W22" si="48">SUM(V23:V24)</f>
        <v>2530494</v>
      </c>
      <c r="W22" s="5646">
        <f t="shared" si="48"/>
        <v>0</v>
      </c>
      <c r="X22" s="5646">
        <f>SUM(X23:X24)</f>
        <v>2530494</v>
      </c>
      <c r="Y22" s="5646">
        <f t="shared" ref="Y22:Z22" si="49">SUM(Y23:Y24)</f>
        <v>2530494</v>
      </c>
      <c r="Z22" s="5678">
        <f t="shared" si="49"/>
        <v>0</v>
      </c>
    </row>
    <row r="23" spans="1:26" s="204" customFormat="1" hidden="1">
      <c r="A23" s="5676" t="s">
        <v>99</v>
      </c>
      <c r="B23" s="5677"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47">
        <f>+'Phụ lục số 1'!V63</f>
        <v>0</v>
      </c>
      <c r="L23" s="5527">
        <f>SUM(M23:N23)</f>
        <v>2399255</v>
      </c>
      <c r="M23" s="152">
        <f>+'Phụ lục số 1'!AA63</f>
        <v>2399255</v>
      </c>
      <c r="N23" s="152"/>
      <c r="O23" s="157">
        <f>SUM(P23:Q23)</f>
        <v>2399255</v>
      </c>
      <c r="P23" s="157">
        <f>+'Phụ lục số 1'!AG63</f>
        <v>2399255</v>
      </c>
      <c r="Q23" s="5547"/>
      <c r="R23" s="5679">
        <f>SUM(S23:T23)</f>
        <v>2399255</v>
      </c>
      <c r="S23" s="5645">
        <f>+'Phụ lục số 1'!AM63</f>
        <v>2399255</v>
      </c>
      <c r="T23" s="5645"/>
      <c r="U23" s="5645">
        <f>SUM(V23:W23)</f>
        <v>2399255</v>
      </c>
      <c r="V23" s="5645">
        <f>+'Phụ lục số 1'!AS63</f>
        <v>2399255</v>
      </c>
      <c r="W23" s="5645"/>
      <c r="X23" s="5645">
        <f>SUM(Y23:Z23)</f>
        <v>2399255</v>
      </c>
      <c r="Y23" s="5645">
        <f>+'Phụ lục số 1'!AY63</f>
        <v>2399255</v>
      </c>
      <c r="Z23" s="5647"/>
    </row>
    <row r="24" spans="1:26" s="204" customFormat="1" hidden="1">
      <c r="A24" s="5676" t="s">
        <v>101</v>
      </c>
      <c r="B24" s="5677"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47">
        <f>+'Phụ lục số 1'!V64</f>
        <v>0</v>
      </c>
      <c r="L24" s="5527">
        <f>SUM(M24:N24)</f>
        <v>131239</v>
      </c>
      <c r="M24" s="152">
        <f>+'Phụ lục số 1'!AA64</f>
        <v>131239</v>
      </c>
      <c r="N24" s="152"/>
      <c r="O24" s="157">
        <f>SUM(P24:Q24)</f>
        <v>131239</v>
      </c>
      <c r="P24" s="157">
        <f>+'Phụ lục số 1'!AG64</f>
        <v>131239</v>
      </c>
      <c r="Q24" s="5547"/>
      <c r="R24" s="5679">
        <f>SUM(S24:T24)</f>
        <v>131239</v>
      </c>
      <c r="S24" s="5645">
        <f>+'Phụ lục số 1'!AM64</f>
        <v>131239</v>
      </c>
      <c r="T24" s="5645"/>
      <c r="U24" s="5645">
        <f>SUM(V24:W24)</f>
        <v>131239</v>
      </c>
      <c r="V24" s="5645">
        <f>+'Phụ lục số 1'!AS64</f>
        <v>131239</v>
      </c>
      <c r="W24" s="5645"/>
      <c r="X24" s="5645">
        <f>SUM(Y24:Z24)</f>
        <v>131239</v>
      </c>
      <c r="Y24" s="5645">
        <f>+'Phụ lục số 1'!AY64</f>
        <v>131239</v>
      </c>
      <c r="Z24" s="5647"/>
    </row>
    <row r="25" spans="1:26" s="204" customFormat="1">
      <c r="A25" s="5676" t="s">
        <v>206</v>
      </c>
      <c r="B25" s="5677"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52">
        <f t="shared" si="53"/>
        <v>0</v>
      </c>
      <c r="L25" s="5718">
        <f>SUM(L26:L27)</f>
        <v>221912</v>
      </c>
      <c r="M25" s="1597">
        <f t="shared" ref="M25:N25" si="54">SUM(M26:M27)</f>
        <v>221912</v>
      </c>
      <c r="N25" s="1597">
        <f t="shared" si="54"/>
        <v>0</v>
      </c>
      <c r="O25" s="152">
        <f>SUM(O26:O27)</f>
        <v>221912</v>
      </c>
      <c r="P25" s="152">
        <f t="shared" ref="P25:Q25" si="55">SUM(P26:P27)</f>
        <v>221912</v>
      </c>
      <c r="Q25" s="5552">
        <f t="shared" si="55"/>
        <v>0</v>
      </c>
      <c r="R25" s="5644">
        <f>SUM(R26:R27)</f>
        <v>221912</v>
      </c>
      <c r="S25" s="5646">
        <f t="shared" ref="S25:Z25" si="56">SUM(S26:S27)</f>
        <v>221912</v>
      </c>
      <c r="T25" s="5646">
        <f t="shared" si="56"/>
        <v>0</v>
      </c>
      <c r="U25" s="5646">
        <f>SUM(U26:U27)</f>
        <v>221912</v>
      </c>
      <c r="V25" s="5646">
        <f t="shared" si="56"/>
        <v>221912</v>
      </c>
      <c r="W25" s="5646">
        <f t="shared" si="56"/>
        <v>0</v>
      </c>
      <c r="X25" s="5646">
        <f>SUM(X26:X27)</f>
        <v>221912</v>
      </c>
      <c r="Y25" s="5646">
        <f t="shared" si="56"/>
        <v>221912</v>
      </c>
      <c r="Z25" s="5678">
        <f t="shared" si="56"/>
        <v>0</v>
      </c>
    </row>
    <row r="26" spans="1:26" s="204" customFormat="1" hidden="1">
      <c r="A26" s="5676" t="s">
        <v>99</v>
      </c>
      <c r="B26" s="5677"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47">
        <f>H26</f>
        <v>0</v>
      </c>
      <c r="L26" s="5527">
        <f>SUM(M26:N26)</f>
        <v>186007</v>
      </c>
      <c r="M26" s="152">
        <f>+'Phụ lục số 1'!AA66</f>
        <v>186007</v>
      </c>
      <c r="N26" s="5680">
        <f>K26</f>
        <v>0</v>
      </c>
      <c r="O26" s="157">
        <f>SUM(P26:Q26)</f>
        <v>186007</v>
      </c>
      <c r="P26" s="157">
        <f>+'Phụ lục số 1'!AG66</f>
        <v>186007</v>
      </c>
      <c r="Q26" s="5681">
        <f>N26</f>
        <v>0</v>
      </c>
      <c r="R26" s="5679">
        <f>SUM(S26:T26)</f>
        <v>186007</v>
      </c>
      <c r="S26" s="5645">
        <f>+'Phụ lục số 1'!AM66</f>
        <v>186007</v>
      </c>
      <c r="T26" s="5682">
        <f>N26</f>
        <v>0</v>
      </c>
      <c r="U26" s="5645">
        <f>SUM(V26:W26)</f>
        <v>186007</v>
      </c>
      <c r="V26" s="5645">
        <f>+'Phụ lục số 1'!AS66</f>
        <v>186007</v>
      </c>
      <c r="W26" s="5645">
        <f>T26</f>
        <v>0</v>
      </c>
      <c r="X26" s="5645">
        <f>SUM(Y26:Z26)</f>
        <v>186007</v>
      </c>
      <c r="Y26" s="5645">
        <f>+'Phụ lục số 1'!AY66</f>
        <v>186007</v>
      </c>
      <c r="Z26" s="5647">
        <f>W26</f>
        <v>0</v>
      </c>
    </row>
    <row r="27" spans="1:26" s="204" customFormat="1" hidden="1">
      <c r="A27" s="5676" t="s">
        <v>101</v>
      </c>
      <c r="B27" s="5677"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47">
        <f>+'Phụ lục số 1'!V67</f>
        <v>0</v>
      </c>
      <c r="L27" s="5527">
        <f>SUM(M27:N27)</f>
        <v>35905</v>
      </c>
      <c r="M27" s="152">
        <f>+'Phụ lục số 1'!AA67</f>
        <v>35905</v>
      </c>
      <c r="N27" s="152"/>
      <c r="O27" s="157">
        <f>SUM(P27:Q27)</f>
        <v>35905</v>
      </c>
      <c r="P27" s="157">
        <f>+'Phụ lục số 1'!AG67</f>
        <v>35905</v>
      </c>
      <c r="Q27" s="5547"/>
      <c r="R27" s="5679">
        <f>SUM(S27:T27)</f>
        <v>35905</v>
      </c>
      <c r="S27" s="5645">
        <f>+'Phụ lục số 1'!AM67</f>
        <v>35905</v>
      </c>
      <c r="T27" s="5645"/>
      <c r="U27" s="5645">
        <f>SUM(V27:W27)</f>
        <v>35905</v>
      </c>
      <c r="V27" s="5645">
        <f>+'Phụ lục số 1'!AS67</f>
        <v>35905</v>
      </c>
      <c r="W27" s="5645"/>
      <c r="X27" s="5645">
        <f>SUM(Y27:Z27)</f>
        <v>35905</v>
      </c>
      <c r="Y27" s="5645">
        <f>+'Phụ lục số 1'!AY67</f>
        <v>35905</v>
      </c>
      <c r="Z27" s="5647"/>
    </row>
    <row r="28" spans="1:26" s="204" customFormat="1">
      <c r="A28" s="5676" t="s">
        <v>237</v>
      </c>
      <c r="B28" s="5683"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52">
        <f t="shared" ref="K28" si="61">SUM(K29:K30)</f>
        <v>0</v>
      </c>
      <c r="L28" s="5718">
        <f>SUM(L29:L30)</f>
        <v>284586</v>
      </c>
      <c r="M28" s="1597">
        <f t="shared" ref="M28:N28" si="62">SUM(M29:M30)</f>
        <v>284586</v>
      </c>
      <c r="N28" s="1597">
        <f t="shared" si="62"/>
        <v>0</v>
      </c>
      <c r="O28" s="152">
        <f>SUM(O29:O30)</f>
        <v>284586</v>
      </c>
      <c r="P28" s="152">
        <f t="shared" ref="P28:Q28" si="63">SUM(P29:P30)</f>
        <v>284586</v>
      </c>
      <c r="Q28" s="5552">
        <f t="shared" si="63"/>
        <v>0</v>
      </c>
      <c r="R28" s="5644">
        <f>SUM(R29:R30)</f>
        <v>284586</v>
      </c>
      <c r="S28" s="5646">
        <f t="shared" ref="S28:Z28" si="64">SUM(S29:S30)</f>
        <v>284586</v>
      </c>
      <c r="T28" s="5646">
        <f t="shared" si="64"/>
        <v>0</v>
      </c>
      <c r="U28" s="5646">
        <f>SUM(U29:U30)</f>
        <v>284586</v>
      </c>
      <c r="V28" s="5646">
        <f t="shared" si="64"/>
        <v>284586</v>
      </c>
      <c r="W28" s="5646">
        <f t="shared" si="64"/>
        <v>0</v>
      </c>
      <c r="X28" s="5646">
        <f>SUM(X29:X30)</f>
        <v>284586</v>
      </c>
      <c r="Y28" s="5646">
        <f t="shared" si="64"/>
        <v>284586</v>
      </c>
      <c r="Z28" s="5678">
        <f t="shared" si="64"/>
        <v>0</v>
      </c>
    </row>
    <row r="29" spans="1:26" s="204" customFormat="1" hidden="1">
      <c r="A29" s="5676" t="s">
        <v>99</v>
      </c>
      <c r="B29" s="5677"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47">
        <f>+'Phụ lục số 1'!V69</f>
        <v>0</v>
      </c>
      <c r="L29" s="5527">
        <f>SUM(M29:N29)</f>
        <v>0</v>
      </c>
      <c r="M29" s="152">
        <f>+'Phụ lục số 1'!AA69</f>
        <v>0</v>
      </c>
      <c r="N29" s="5680">
        <f>K29</f>
        <v>0</v>
      </c>
      <c r="O29" s="157">
        <f>SUM(P29:Q29)</f>
        <v>0</v>
      </c>
      <c r="P29" s="157">
        <f>+'Phụ lục số 1'!AG69</f>
        <v>0</v>
      </c>
      <c r="Q29" s="5681">
        <f>N29</f>
        <v>0</v>
      </c>
      <c r="R29" s="5679">
        <f>SUM(S29:T29)</f>
        <v>0</v>
      </c>
      <c r="S29" s="5645">
        <f>+'Phụ lục số 1'!AM69</f>
        <v>0</v>
      </c>
      <c r="T29" s="5682">
        <f>N29</f>
        <v>0</v>
      </c>
      <c r="U29" s="5645">
        <f>SUM(V29:W29)</f>
        <v>0</v>
      </c>
      <c r="V29" s="5645">
        <f>+'Phụ lục số 1'!AS69</f>
        <v>0</v>
      </c>
      <c r="W29" s="5645">
        <f>T29</f>
        <v>0</v>
      </c>
      <c r="X29" s="5645">
        <f>SUM(Y29:Z29)</f>
        <v>0</v>
      </c>
      <c r="Y29" s="5645">
        <f>+'Phụ lục số 1'!AY69</f>
        <v>0</v>
      </c>
      <c r="Z29" s="5647">
        <f>W29</f>
        <v>0</v>
      </c>
    </row>
    <row r="30" spans="1:26" s="204" customFormat="1" hidden="1">
      <c r="A30" s="5676" t="s">
        <v>101</v>
      </c>
      <c r="B30" s="5677"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47">
        <f>+'Phụ lục số 1'!V70</f>
        <v>0</v>
      </c>
      <c r="L30" s="5527">
        <f>SUM(M30:N30)</f>
        <v>284586</v>
      </c>
      <c r="M30" s="152">
        <f>+'Phụ lục số 1'!AA70</f>
        <v>284586</v>
      </c>
      <c r="N30" s="5680">
        <f>K30</f>
        <v>0</v>
      </c>
      <c r="O30" s="157">
        <f>SUM(P30:Q30)</f>
        <v>284586</v>
      </c>
      <c r="P30" s="157">
        <f>+'Phụ lục số 1'!AG70</f>
        <v>284586</v>
      </c>
      <c r="Q30" s="5681">
        <f>N30</f>
        <v>0</v>
      </c>
      <c r="R30" s="5679">
        <f>SUM(S30:T30)</f>
        <v>284586</v>
      </c>
      <c r="S30" s="5645">
        <f>+'Phụ lục số 1'!AM70</f>
        <v>284586</v>
      </c>
      <c r="T30" s="5682">
        <f>N30</f>
        <v>0</v>
      </c>
      <c r="U30" s="5645">
        <f>SUM(V30:W30)</f>
        <v>284586</v>
      </c>
      <c r="V30" s="5645">
        <f>+'Phụ lục số 1'!AS70</f>
        <v>284586</v>
      </c>
      <c r="W30" s="5645">
        <f>T30</f>
        <v>0</v>
      </c>
      <c r="X30" s="5645">
        <f>SUM(Y30:Z30)</f>
        <v>284586</v>
      </c>
      <c r="Y30" s="5645">
        <f>+'Phụ lục số 1'!AY70</f>
        <v>284586</v>
      </c>
      <c r="Z30" s="5647">
        <f>W30</f>
        <v>0</v>
      </c>
    </row>
    <row r="31" spans="1:26" s="738" customFormat="1">
      <c r="A31" s="5648" t="s">
        <v>182</v>
      </c>
      <c r="B31" s="5673"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48">
        <f>+'Phụ lục số 1'!V71</f>
        <v>941000</v>
      </c>
      <c r="L31" s="5522">
        <f t="shared" ref="L31:L32" si="67">SUM(M31:N31)</f>
        <v>519900</v>
      </c>
      <c r="M31" s="147">
        <f>+'Phụ lục số 1'!AA71</f>
        <v>0</v>
      </c>
      <c r="N31" s="147">
        <f>+'Phụ lục số 1'!AB71</f>
        <v>519900</v>
      </c>
      <c r="O31" s="142">
        <f t="shared" ref="O31:O32" si="68">SUM(P31:Q31)</f>
        <v>626117.15251171635</v>
      </c>
      <c r="P31" s="142">
        <f>+'Phụ lục số 1'!AG71</f>
        <v>202308.50969414107</v>
      </c>
      <c r="Q31" s="5548">
        <f>+'Phụ lục số 1'!AH71</f>
        <v>423808.64281757525</v>
      </c>
      <c r="R31" s="5684">
        <f t="shared" ref="R31:R34" si="69">SUM(S31:T31)</f>
        <v>789623.5261911191</v>
      </c>
      <c r="S31" s="5670">
        <f>+'Phụ lục số 1'!AM71</f>
        <v>394092.17037477036</v>
      </c>
      <c r="T31" s="5670">
        <f>+'Phụ lục số 1'!AN71</f>
        <v>395531.35581634869</v>
      </c>
      <c r="U31" s="5670">
        <f t="shared" ref="U31:U34" si="70">SUM(V31:W31)</f>
        <v>1134327.0610566589</v>
      </c>
      <c r="V31" s="5670">
        <f>+'Phụ lục số 1'!AS71</f>
        <v>403102.79576516763</v>
      </c>
      <c r="W31" s="5670">
        <f>+'Phụ lục số 1'!AT71</f>
        <v>731224.26529149117</v>
      </c>
      <c r="X31" s="5670">
        <f t="shared" ref="X31:X34" si="71">SUM(Y31:Z31)</f>
        <v>1555493.1441400896</v>
      </c>
      <c r="Y31" s="5670">
        <f>+'Phụ lục số 1'!AY71</f>
        <v>595525.54997767729</v>
      </c>
      <c r="Z31" s="5670">
        <f>+'Phụ lục số 1'!AZ71</f>
        <v>959967.59416241234</v>
      </c>
    </row>
    <row r="32" spans="1:26" s="738" customFormat="1">
      <c r="A32" s="5648" t="s">
        <v>215</v>
      </c>
      <c r="B32" s="5673"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48">
        <f>'Phụ lục số I'!V69</f>
        <v>0</v>
      </c>
      <c r="L32" s="5522">
        <f t="shared" si="67"/>
        <v>0</v>
      </c>
      <c r="M32" s="147">
        <f>+'Phụ lục số 1'!AA72</f>
        <v>0</v>
      </c>
      <c r="N32" s="147">
        <f>+'Phụ lục số 1'!AB72</f>
        <v>0</v>
      </c>
      <c r="O32" s="142">
        <f t="shared" si="68"/>
        <v>0</v>
      </c>
      <c r="P32" s="142">
        <f>+'Phụ lục số 1'!AG72</f>
        <v>0</v>
      </c>
      <c r="Q32" s="5548">
        <f>+'Phụ lục số 1'!AH72</f>
        <v>0</v>
      </c>
      <c r="R32" s="5684">
        <f t="shared" si="69"/>
        <v>0</v>
      </c>
      <c r="S32" s="5670">
        <f>+'Phụ lục số 1'!AM72</f>
        <v>0</v>
      </c>
      <c r="T32" s="5670">
        <f>+'Phụ lục số 1'!AN72</f>
        <v>0</v>
      </c>
      <c r="U32" s="5670">
        <f t="shared" si="70"/>
        <v>0</v>
      </c>
      <c r="V32" s="5670">
        <f>+'Phụ lục số 1'!AS72</f>
        <v>0</v>
      </c>
      <c r="W32" s="5670">
        <f>+'Phụ lục số 1'!AT72</f>
        <v>0</v>
      </c>
      <c r="X32" s="5670">
        <f t="shared" si="71"/>
        <v>0</v>
      </c>
      <c r="Y32" s="5670">
        <f>+'Phụ lục số 1'!AY72</f>
        <v>0</v>
      </c>
      <c r="Z32" s="5670">
        <f>+'Phụ lục số 1'!AZ72</f>
        <v>0</v>
      </c>
    </row>
    <row r="33" spans="1:32" s="738" customFormat="1">
      <c r="A33" s="5685" t="s">
        <v>37</v>
      </c>
      <c r="B33" s="5686"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35">
        <f>K34+K58+K68+K69+K70</f>
        <v>11751651.907000003</v>
      </c>
      <c r="L33" s="5768">
        <f>SUM(M33:N33)</f>
        <v>22308019.975340258</v>
      </c>
      <c r="M33" s="5687">
        <f>M34+M58+M68+M69+M70</f>
        <v>10336418.558390718</v>
      </c>
      <c r="N33" s="5687">
        <f>N34+N58+N68+N69+N70</f>
        <v>11971601.41694954</v>
      </c>
      <c r="O33" s="5687">
        <f>SUM(P33:Q33)</f>
        <v>23058214.497882977</v>
      </c>
      <c r="P33" s="5687">
        <f>P34+P58+P68+P69+P70</f>
        <v>10792774.046539402</v>
      </c>
      <c r="Q33" s="5688">
        <f>Q34+Q58+Q68+Q69+Q70</f>
        <v>12265440.451343574</v>
      </c>
      <c r="R33" s="5689">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690">
        <f>Z34+Z58+Z68+Z69</f>
        <v>14476969.606131842</v>
      </c>
    </row>
    <row r="34" spans="1:32" s="738" customFormat="1">
      <c r="A34" s="5648" t="s">
        <v>3</v>
      </c>
      <c r="B34" s="5649"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74">
        <f>SUM(K35,K47,K52,K53,K54,K55,K56,K57)</f>
        <v>11497266.907000003</v>
      </c>
      <c r="L34" s="5769">
        <f>SUM(M34:N34)</f>
        <v>19271027.975340258</v>
      </c>
      <c r="M34" s="5691">
        <f>SUM(M35,M47,M52,M53,M54,M55,M56,M57)</f>
        <v>7553811.558390717</v>
      </c>
      <c r="N34" s="5691">
        <f>SUM(N35,N47,N52,N53,N54,N55,N56,N57)</f>
        <v>11717216.41694954</v>
      </c>
      <c r="O34" s="5691">
        <f>SUM(P34:Q34)</f>
        <v>20021222.497882977</v>
      </c>
      <c r="P34" s="5691">
        <f>SUM(P35,P47,P52,P53,P54,P55,P56,P57)</f>
        <v>8010167.0465394016</v>
      </c>
      <c r="Q34" s="5692">
        <f>SUM(Q35,Q47,Q52,Q53,Q54,Q55,Q56,Q57)</f>
        <v>12011055.451343574</v>
      </c>
      <c r="R34" s="5693">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694">
        <f>SUM(Z35,Z47,Z52,Z53,Z54,Z55,Z56,Z57)</f>
        <v>14222584.606131842</v>
      </c>
      <c r="AC34" s="5297">
        <f>+I34</f>
        <v>18330348.400000006</v>
      </c>
      <c r="AD34" s="738">
        <v>0</v>
      </c>
      <c r="AF34" s="5297">
        <f>+I10-I34</f>
        <v>192253.79599999636</v>
      </c>
    </row>
    <row r="35" spans="1:32" s="738" customFormat="1">
      <c r="A35" s="5648">
        <v>1</v>
      </c>
      <c r="B35" s="5649"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74">
        <f t="shared" si="76"/>
        <v>1683500</v>
      </c>
      <c r="L35" s="5769">
        <f>+L36+L37+L39+L41+L42</f>
        <v>5207212.043456913</v>
      </c>
      <c r="M35" s="5691">
        <f t="shared" ref="M35" si="77">+M36+M37+M39+M41+M42</f>
        <v>3357212.043456913</v>
      </c>
      <c r="N35" s="5691">
        <f t="shared" ref="N35" si="78">+N36+N37+N39+N41+N42</f>
        <v>1850000</v>
      </c>
      <c r="O35" s="5691">
        <f>+O36+O37+O39+O41+O42</f>
        <v>5338707.7565428363</v>
      </c>
      <c r="P35" s="5691">
        <f t="shared" ref="P35" si="79">+P36+P37+P39+P41+P42</f>
        <v>3460943.7757059</v>
      </c>
      <c r="Q35" s="5692">
        <f t="shared" ref="Q35" si="80">+Q36+Q37+Q39+Q41+Q42</f>
        <v>1877763.9808369365</v>
      </c>
      <c r="R35" s="5691">
        <f>+R36+R37+R39+R41+R42</f>
        <v>5569803.4288555803</v>
      </c>
      <c r="S35" s="5691">
        <f t="shared" ref="S35:Z35" si="81">+S36+S37+S39+S41+S42</f>
        <v>3619449.6039062967</v>
      </c>
      <c r="T35" s="5692">
        <f t="shared" si="81"/>
        <v>1950353.8249492832</v>
      </c>
      <c r="U35" s="5691">
        <f>+U36+U37+U39+U41+U42</f>
        <v>6005750.2471807506</v>
      </c>
      <c r="V35" s="5691">
        <f t="shared" si="81"/>
        <v>3922342.4400391411</v>
      </c>
      <c r="W35" s="5692">
        <f t="shared" si="81"/>
        <v>2083407.8071416095</v>
      </c>
      <c r="X35" s="5691">
        <f>+X36+X37+X39+X41+X42</f>
        <v>6853899.701418004</v>
      </c>
      <c r="Y35" s="5691">
        <f t="shared" si="81"/>
        <v>4539333.1674249219</v>
      </c>
      <c r="Z35" s="5692">
        <f t="shared" si="81"/>
        <v>2314566.5339930821</v>
      </c>
      <c r="AF35" s="5297">
        <f>+AF34-K53</f>
        <v>-327646.20400000364</v>
      </c>
    </row>
    <row r="36" spans="1:32">
      <c r="A36" s="5695" t="s">
        <v>29</v>
      </c>
      <c r="B36" s="5696"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52">
        <f>+'Phụ lục số 2'!Q11</f>
        <v>590000</v>
      </c>
      <c r="L36" s="5527">
        <f>SUM(M36:N36)</f>
        <v>1207212.043456913</v>
      </c>
      <c r="M36" s="202">
        <f>+'Phụ lục số 2'!U11</f>
        <v>617212.04345691297</v>
      </c>
      <c r="N36" s="202">
        <f>+'Phụ lục số 2'!V11</f>
        <v>590000</v>
      </c>
      <c r="O36" s="152">
        <f>SUM(P36:Q36)</f>
        <v>1338707.7565428363</v>
      </c>
      <c r="P36" s="202">
        <f>+'Phụ lục số 2'!Z11</f>
        <v>720943.77570589993</v>
      </c>
      <c r="Q36" s="5697">
        <f>+'Phụ lục số 2'!AA11</f>
        <v>617763.98083693651</v>
      </c>
      <c r="R36" s="5527">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695" t="s">
        <v>29</v>
      </c>
      <c r="B37" s="5696"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52">
        <f>+'Phụ lục số 2'!Q12</f>
        <v>1093500</v>
      </c>
      <c r="L37" s="5527">
        <f t="shared" ref="L37:L42" si="85">SUM(M37:N37)</f>
        <v>1800000</v>
      </c>
      <c r="M37" s="202">
        <f>+'Phụ lục số 2'!U12</f>
        <v>540000</v>
      </c>
      <c r="N37" s="202">
        <f>+'Phụ lục số 2'!V12</f>
        <v>1260000</v>
      </c>
      <c r="O37" s="152">
        <f t="shared" ref="O37:O42" si="86">SUM(P37:Q37)</f>
        <v>1800000</v>
      </c>
      <c r="P37" s="202">
        <f>+'Phụ lục số 2'!Z12</f>
        <v>540000</v>
      </c>
      <c r="Q37" s="5697">
        <f>+'Phụ lục số 2'!AA12</f>
        <v>1260000</v>
      </c>
      <c r="R37" s="5527">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55"/>
      <c r="B38" s="5699" t="s">
        <v>3141</v>
      </c>
      <c r="C38" s="5700"/>
      <c r="D38" s="5700"/>
      <c r="E38" s="5700"/>
      <c r="F38" s="263"/>
      <c r="G38" s="263"/>
      <c r="H38" s="263"/>
      <c r="I38" s="263">
        <f t="shared" si="84"/>
        <v>160000</v>
      </c>
      <c r="J38" s="263">
        <f>+'Phụ lục số 2'!P13</f>
        <v>160000</v>
      </c>
      <c r="K38" s="5775">
        <f>+'Phụ lục số 2'!Q13</f>
        <v>0</v>
      </c>
      <c r="L38" s="5703">
        <f>+M38+N38</f>
        <v>180000</v>
      </c>
      <c r="M38" s="5701">
        <f>+'Phụ lục số 2'!U13</f>
        <v>180000</v>
      </c>
      <c r="N38" s="5701">
        <f>+'Phụ lục số 2'!V13</f>
        <v>0</v>
      </c>
      <c r="O38" s="263">
        <f>+P38+Q38</f>
        <v>180000</v>
      </c>
      <c r="P38" s="5701">
        <f>+'Phụ lục số 2'!Z13</f>
        <v>180000</v>
      </c>
      <c r="Q38" s="5702">
        <f>+'Phụ lục số 2'!AA13</f>
        <v>0</v>
      </c>
      <c r="R38" s="5703">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05"/>
    </row>
    <row r="39" spans="1:32">
      <c r="A39" s="5695" t="s">
        <v>29</v>
      </c>
      <c r="B39" s="5683"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52">
        <f>+'Phụ lục số 2'!Q14</f>
        <v>0</v>
      </c>
      <c r="L39" s="5527">
        <f t="shared" si="85"/>
        <v>2200000</v>
      </c>
      <c r="M39" s="202">
        <f>+'Phụ lục số 2'!U14</f>
        <v>2200000</v>
      </c>
      <c r="N39" s="202">
        <f>+'Phụ lục số 2'!V14</f>
        <v>0</v>
      </c>
      <c r="O39" s="152">
        <f t="shared" si="86"/>
        <v>2200000</v>
      </c>
      <c r="P39" s="202">
        <f>+'Phụ lục số 2'!Z14</f>
        <v>2200000</v>
      </c>
      <c r="Q39" s="5697">
        <f>+'Phụ lục số 2'!AA14</f>
        <v>0</v>
      </c>
      <c r="R39" s="5527">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55"/>
      <c r="B40" s="5699" t="s">
        <v>3142</v>
      </c>
      <c r="C40" s="5700"/>
      <c r="D40" s="5700"/>
      <c r="E40" s="5700"/>
      <c r="F40" s="263"/>
      <c r="G40" s="263"/>
      <c r="H40" s="263"/>
      <c r="I40" s="263">
        <f t="shared" si="84"/>
        <v>100000</v>
      </c>
      <c r="J40" s="263">
        <f>+'Phụ lục số 2'!P15</f>
        <v>100000</v>
      </c>
      <c r="K40" s="5775">
        <f>+'Phụ lục số 2'!Q15</f>
        <v>0</v>
      </c>
      <c r="L40" s="5703">
        <f>+M40+N40</f>
        <v>120000</v>
      </c>
      <c r="M40" s="5701">
        <f>+'Phụ lục số 2'!U15</f>
        <v>120000</v>
      </c>
      <c r="N40" s="5701">
        <f>+'Phụ lục số 2'!V15</f>
        <v>0</v>
      </c>
      <c r="O40" s="263">
        <f>+P40+Q40</f>
        <v>135000</v>
      </c>
      <c r="P40" s="5701">
        <f>+'Phụ lục số 2'!Z15</f>
        <v>135000</v>
      </c>
      <c r="Q40" s="5702">
        <f>+'Phụ lục số 2'!AA15</f>
        <v>0</v>
      </c>
      <c r="R40" s="5703">
        <f>+S40+T40</f>
        <v>155000</v>
      </c>
      <c r="S40" s="263">
        <f>+'Phụ lục số 2'!AE15</f>
        <v>155000</v>
      </c>
      <c r="T40" s="263">
        <f>+'Phụ lục số 2'!AF15</f>
        <v>0</v>
      </c>
      <c r="U40" s="263">
        <f>+V40+W40</f>
        <v>175000</v>
      </c>
      <c r="V40" s="5701">
        <f>+'Phụ lục số 2'!AJ15</f>
        <v>175000</v>
      </c>
      <c r="W40" s="5701">
        <f>+'Phụ lục số 2'!AK15</f>
        <v>0</v>
      </c>
      <c r="X40" s="263">
        <f>+Y40+Z40</f>
        <v>200000</v>
      </c>
      <c r="Y40" s="5701">
        <f>+'Phụ lục số 2'!AO15</f>
        <v>200000</v>
      </c>
      <c r="Z40" s="5704"/>
    </row>
    <row r="41" spans="1:32">
      <c r="A41" s="5695" t="s">
        <v>29</v>
      </c>
      <c r="B41" s="5683"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52">
        <f>+'Phụ lục số 2'!Q16</f>
        <v>0</v>
      </c>
      <c r="L41" s="5527">
        <f t="shared" si="85"/>
        <v>0</v>
      </c>
      <c r="M41" s="202">
        <f>+'Phụ lục số 2'!U16</f>
        <v>0</v>
      </c>
      <c r="N41" s="202">
        <f>+'Phụ lục số 2'!V16</f>
        <v>0</v>
      </c>
      <c r="O41" s="152">
        <f t="shared" si="86"/>
        <v>0</v>
      </c>
      <c r="P41" s="202">
        <f>+'Phụ lục số 2'!Z16</f>
        <v>0</v>
      </c>
      <c r="Q41" s="5697">
        <f>+'Phụ lục số 2'!AA16</f>
        <v>0</v>
      </c>
      <c r="R41" s="5527">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698">
        <f>'Phụ lục số II'!AP15</f>
        <v>0</v>
      </c>
    </row>
    <row r="42" spans="1:32">
      <c r="A42" s="5706"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52">
        <f t="shared" ref="K42" si="91">SUM(K43:K46)</f>
        <v>0</v>
      </c>
      <c r="L42" s="5527">
        <f t="shared" si="85"/>
        <v>0</v>
      </c>
      <c r="M42" s="202">
        <f>+'Phụ lục số 2'!U17</f>
        <v>0</v>
      </c>
      <c r="N42" s="202">
        <f>+'Phụ lục số 2'!V17</f>
        <v>0</v>
      </c>
      <c r="O42" s="152">
        <f t="shared" si="86"/>
        <v>0</v>
      </c>
      <c r="P42" s="202">
        <f>+'Phụ lục số 2'!Z17</f>
        <v>0</v>
      </c>
      <c r="Q42" s="5697">
        <f>+'Phụ lục số 2'!AA17</f>
        <v>0</v>
      </c>
      <c r="R42" s="5527">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698">
        <f>'Phụ lục số II'!AP16</f>
        <v>0</v>
      </c>
    </row>
    <row r="43" spans="1:32" ht="31.2">
      <c r="A43" s="2782" t="s">
        <v>3126</v>
      </c>
      <c r="B43" s="5699" t="s">
        <v>3142</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52">
        <f>+'Phụ lục số 2'!Q18</f>
        <v>0</v>
      </c>
      <c r="L43" s="5527"/>
      <c r="M43" s="202"/>
      <c r="N43" s="202"/>
      <c r="O43" s="152"/>
      <c r="P43" s="202"/>
      <c r="Q43" s="5697"/>
      <c r="R43" s="5527"/>
      <c r="S43" s="152"/>
      <c r="T43" s="152"/>
      <c r="U43" s="152"/>
      <c r="V43" s="202"/>
      <c r="W43" s="202"/>
      <c r="X43" s="152"/>
      <c r="Y43" s="202"/>
      <c r="Z43" s="5698"/>
    </row>
    <row r="44" spans="1:32" ht="78" hidden="1">
      <c r="A44" s="2782" t="s">
        <v>3127</v>
      </c>
      <c r="B44" s="5707" t="s">
        <v>3141</v>
      </c>
      <c r="C44" s="1597">
        <f t="shared" ref="C44:C46" si="92">SUM(D44:E44)</f>
        <v>0</v>
      </c>
      <c r="D44" s="1597"/>
      <c r="E44" s="1597"/>
      <c r="F44" s="152">
        <f t="shared" ref="F44:F46" si="93">SUM(G44:H44)</f>
        <v>0</v>
      </c>
      <c r="G44" s="152"/>
      <c r="H44" s="152"/>
      <c r="I44" s="152">
        <f t="shared" ref="I44:I46" si="94">SUM(J44:K44)</f>
        <v>0</v>
      </c>
      <c r="J44" s="152">
        <f>+'Phụ lục số 2'!P19</f>
        <v>0</v>
      </c>
      <c r="K44" s="5552"/>
      <c r="L44" s="5527"/>
      <c r="M44" s="202"/>
      <c r="N44" s="202"/>
      <c r="O44" s="152"/>
      <c r="P44" s="202"/>
      <c r="Q44" s="5697"/>
      <c r="R44" s="5527"/>
      <c r="S44" s="152"/>
      <c r="T44" s="152"/>
      <c r="U44" s="152"/>
      <c r="V44" s="202"/>
      <c r="W44" s="202"/>
      <c r="X44" s="152"/>
      <c r="Y44" s="202"/>
      <c r="Z44" s="5698"/>
    </row>
    <row r="45" spans="1:32" hidden="1">
      <c r="A45" s="2782" t="s">
        <v>3143</v>
      </c>
      <c r="B45" s="5707"/>
      <c r="C45" s="1597">
        <f t="shared" si="92"/>
        <v>0</v>
      </c>
      <c r="D45" s="1597"/>
      <c r="E45" s="1597"/>
      <c r="F45" s="152">
        <f t="shared" si="93"/>
        <v>0</v>
      </c>
      <c r="G45" s="152"/>
      <c r="H45" s="152"/>
      <c r="I45" s="152">
        <f t="shared" si="94"/>
        <v>0</v>
      </c>
      <c r="J45" s="152"/>
      <c r="K45" s="5552"/>
      <c r="L45" s="5527"/>
      <c r="M45" s="202"/>
      <c r="N45" s="202"/>
      <c r="O45" s="152"/>
      <c r="P45" s="202"/>
      <c r="Q45" s="5697"/>
      <c r="R45" s="5527"/>
      <c r="S45" s="152"/>
      <c r="T45" s="152"/>
      <c r="U45" s="152"/>
      <c r="V45" s="202"/>
      <c r="W45" s="202"/>
      <c r="X45" s="152"/>
      <c r="Y45" s="202"/>
      <c r="Z45" s="5698"/>
    </row>
    <row r="46" spans="1:32" hidden="1">
      <c r="A46" s="2782"/>
      <c r="B46" s="5707"/>
      <c r="C46" s="1597">
        <f t="shared" si="92"/>
        <v>0</v>
      </c>
      <c r="D46" s="1597"/>
      <c r="E46" s="1597"/>
      <c r="F46" s="152">
        <f t="shared" si="93"/>
        <v>0</v>
      </c>
      <c r="G46" s="152"/>
      <c r="H46" s="152"/>
      <c r="I46" s="152">
        <f t="shared" si="94"/>
        <v>0</v>
      </c>
      <c r="J46" s="152"/>
      <c r="K46" s="5552"/>
      <c r="L46" s="5527"/>
      <c r="M46" s="202"/>
      <c r="N46" s="202"/>
      <c r="O46" s="152"/>
      <c r="P46" s="202"/>
      <c r="Q46" s="5697"/>
      <c r="R46" s="5527"/>
      <c r="S46" s="152"/>
      <c r="T46" s="152"/>
      <c r="U46" s="152"/>
      <c r="V46" s="202"/>
      <c r="W46" s="202"/>
      <c r="X46" s="152"/>
      <c r="Y46" s="202"/>
      <c r="Z46" s="5698"/>
    </row>
    <row r="47" spans="1:32">
      <c r="A47" s="5648">
        <v>2</v>
      </c>
      <c r="B47" s="5649" t="s">
        <v>209</v>
      </c>
      <c r="C47" s="1591">
        <f>SUM(D47:E47)</f>
        <v>10664978.794711081</v>
      </c>
      <c r="D47" s="5708">
        <f>+'Phụ lục số 2'!F22</f>
        <v>3294440.4</v>
      </c>
      <c r="E47" s="5708">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74">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09">
        <f>+'Phụ lục số 2'!AA22</f>
        <v>9517706.4046643022</v>
      </c>
      <c r="R47" s="5522">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48"/>
      <c r="B48" s="5649" t="s">
        <v>234</v>
      </c>
      <c r="C48" s="5711"/>
      <c r="D48" s="5711"/>
      <c r="E48" s="5711"/>
      <c r="F48" s="152"/>
      <c r="G48" s="152"/>
      <c r="H48" s="152"/>
      <c r="I48" s="152"/>
      <c r="J48" s="152"/>
      <c r="K48" s="5552"/>
      <c r="L48" s="3798"/>
      <c r="M48" s="779"/>
      <c r="N48" s="779"/>
      <c r="O48" s="1328">
        <f t="shared" ref="O48:O50" si="95">SUM(P48:Q48)</f>
        <v>0</v>
      </c>
      <c r="P48" s="1398"/>
      <c r="Q48" s="5712"/>
      <c r="R48" s="5527"/>
      <c r="S48" s="152"/>
      <c r="T48" s="152"/>
      <c r="U48" s="203"/>
      <c r="V48" s="203"/>
      <c r="W48" s="203"/>
      <c r="X48" s="202"/>
      <c r="Y48" s="202"/>
      <c r="Z48" s="5698"/>
    </row>
    <row r="49" spans="1:26">
      <c r="A49" s="5695" t="s">
        <v>29</v>
      </c>
      <c r="B49" s="5696" t="s">
        <v>239</v>
      </c>
      <c r="C49" s="5713">
        <f>SUM(D49:E49)</f>
        <v>4797945.7831797441</v>
      </c>
      <c r="D49" s="5713">
        <f>+'Phụ lục số 2'!F23</f>
        <v>956676</v>
      </c>
      <c r="E49" s="5713">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52">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14">
        <f>+'Phụ lục số 2'!AA23</f>
        <v>4923166.566969756</v>
      </c>
      <c r="R49" s="5527">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695" t="s">
        <v>29</v>
      </c>
      <c r="B50" s="5715" t="s">
        <v>241</v>
      </c>
      <c r="C50" s="5713">
        <f t="shared" ref="C50:C51" si="97">SUM(D50:E50)</f>
        <v>31218</v>
      </c>
      <c r="D50" s="5713">
        <f>+'Phụ lục số 2'!F24</f>
        <v>31218</v>
      </c>
      <c r="E50" s="5713">
        <f>+'Phụ lục số 2'!G24</f>
        <v>0</v>
      </c>
      <c r="F50" s="1597">
        <f t="shared" si="96"/>
        <v>30790</v>
      </c>
      <c r="G50" s="152">
        <f>+'Phụ lục số 2'!K24</f>
        <v>30790</v>
      </c>
      <c r="H50" s="152">
        <f>+'Phụ lục số 2'!L24</f>
        <v>0</v>
      </c>
      <c r="I50" s="152">
        <f>SUM(J50:K50)</f>
        <v>31307</v>
      </c>
      <c r="J50" s="152">
        <f>+'Phụ lục số 2'!P24</f>
        <v>31307</v>
      </c>
      <c r="K50" s="5552">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14">
        <f>'Phụ lục số II'!AA19</f>
        <v>0</v>
      </c>
      <c r="R50" s="5527">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698"/>
    </row>
    <row r="51" spans="1:26">
      <c r="A51" s="5695" t="s">
        <v>29</v>
      </c>
      <c r="B51" s="5696" t="s">
        <v>240</v>
      </c>
      <c r="C51" s="5713">
        <f t="shared" si="97"/>
        <v>5835815.0115313362</v>
      </c>
      <c r="D51" s="5713">
        <f>D47-D49-D50</f>
        <v>2306546.4</v>
      </c>
      <c r="E51" s="5713">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52">
        <f t="shared" ref="K51" si="103">K47-K49-K50</f>
        <v>4328562.3570000017</v>
      </c>
      <c r="L51" s="5770">
        <f t="shared" ref="L51" si="104">SUM(M51:N51)</f>
        <v>7099504.2197785098</v>
      </c>
      <c r="M51" s="5716">
        <f>M47-M49-M50</f>
        <v>2648783.1495892932</v>
      </c>
      <c r="N51" s="5716">
        <f t="shared" ref="N51" si="105">N47-N49-N50</f>
        <v>4450721.0701892162</v>
      </c>
      <c r="O51" s="5716">
        <f t="shared" ref="O51" si="106">SUM(P51:Q51)</f>
        <v>7352322.9586298354</v>
      </c>
      <c r="P51" s="5716">
        <f>P47-P49-P50</f>
        <v>2757783.1209352897</v>
      </c>
      <c r="Q51" s="5717">
        <f>Q47-Q49-Q50</f>
        <v>4594539.8376945462</v>
      </c>
      <c r="R51" s="5718">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19">
        <f>Y47-Y49-Y50</f>
        <v>3159851.8096231185</v>
      </c>
      <c r="Z51" s="5719">
        <f>Z47-Z49-Z50</f>
        <v>5006843.3030590704</v>
      </c>
    </row>
    <row r="52" spans="1:26" s="4" customFormat="1">
      <c r="A52" s="5720">
        <v>3</v>
      </c>
      <c r="B52" s="5721" t="s">
        <v>210</v>
      </c>
      <c r="C52" s="5722"/>
      <c r="D52" s="5722"/>
      <c r="E52" s="5722"/>
      <c r="F52" s="152"/>
      <c r="G52" s="152"/>
      <c r="H52" s="152"/>
      <c r="I52" s="152"/>
      <c r="J52" s="152"/>
      <c r="K52" s="5552"/>
      <c r="L52" s="5771"/>
      <c r="M52" s="1398"/>
      <c r="N52" s="1398"/>
      <c r="O52" s="203"/>
      <c r="P52" s="203"/>
      <c r="Q52" s="5723"/>
      <c r="R52" s="822"/>
      <c r="S52" s="203"/>
      <c r="T52" s="203"/>
      <c r="U52" s="203"/>
      <c r="V52" s="203"/>
      <c r="W52" s="203"/>
      <c r="X52" s="202"/>
      <c r="Y52" s="202"/>
      <c r="Z52" s="5698"/>
    </row>
    <row r="53" spans="1:26" s="4" customFormat="1">
      <c r="A53" s="5720">
        <v>4</v>
      </c>
      <c r="B53" s="5721" t="s">
        <v>176</v>
      </c>
      <c r="C53" s="5724">
        <f>SUM(D53:E53)</f>
        <v>717399.2</v>
      </c>
      <c r="D53" s="5724">
        <f>'Phụ lục số II'!F34</f>
        <v>79139.200000000012</v>
      </c>
      <c r="E53" s="5724">
        <f>'Phụ lục số II'!G34</f>
        <v>638260</v>
      </c>
      <c r="F53" s="147">
        <f>SUM(G53:H53)</f>
        <v>0.40000000001455194</v>
      </c>
      <c r="G53" s="147">
        <f>+'Phụ lục số 2'!K39</f>
        <v>0.40000000001455194</v>
      </c>
      <c r="H53" s="147">
        <f>+'Phụ lục số 2'!L39</f>
        <v>0</v>
      </c>
      <c r="I53" s="185">
        <f>SUM(J53:K53)</f>
        <v>519900</v>
      </c>
      <c r="J53" s="185">
        <f>+'Phụ lục số 2'!P39</f>
        <v>0</v>
      </c>
      <c r="K53" s="5666">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22">
        <f>SUM(S53:T53)</f>
        <v>1134327.0610566589</v>
      </c>
      <c r="S53" s="147">
        <f>+'Phụ lục số 2'!AE39</f>
        <v>403102.79576516763</v>
      </c>
      <c r="T53" s="147">
        <f>+'Phụ lục số 2'!AF39</f>
        <v>731224.26529149117</v>
      </c>
      <c r="U53" s="5725">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20">
        <v>5</v>
      </c>
      <c r="B54" s="5726" t="s">
        <v>212</v>
      </c>
      <c r="C54" s="5724">
        <f t="shared" ref="C54:C57" si="108">SUM(D54:E54)</f>
        <v>0</v>
      </c>
      <c r="D54" s="5722"/>
      <c r="E54" s="5722"/>
      <c r="F54" s="147">
        <f t="shared" ref="F54:F57" si="109">SUM(G54:H54)</f>
        <v>0</v>
      </c>
      <c r="G54" s="147"/>
      <c r="H54" s="147"/>
      <c r="I54" s="779"/>
      <c r="J54" s="779"/>
      <c r="K54" s="5777"/>
      <c r="L54" s="5771"/>
      <c r="M54" s="1398"/>
      <c r="N54" s="1398"/>
      <c r="O54" s="1398"/>
      <c r="P54" s="1398"/>
      <c r="Q54" s="5712"/>
      <c r="R54" s="822"/>
      <c r="S54" s="203"/>
      <c r="T54" s="203"/>
      <c r="U54" s="203"/>
      <c r="V54" s="203"/>
      <c r="W54" s="203"/>
      <c r="X54" s="202"/>
      <c r="Y54" s="202"/>
      <c r="Z54" s="5698"/>
    </row>
    <row r="55" spans="1:26" s="4" customFormat="1">
      <c r="A55" s="5720">
        <v>6</v>
      </c>
      <c r="B55" s="5727" t="s">
        <v>174</v>
      </c>
      <c r="C55" s="5724">
        <f t="shared" si="108"/>
        <v>2000</v>
      </c>
      <c r="D55" s="5724">
        <f>+'Phụ lục số 2'!F37</f>
        <v>2000</v>
      </c>
      <c r="E55" s="5724">
        <f>+'Phụ lục số 2'!G37</f>
        <v>0</v>
      </c>
      <c r="F55" s="147">
        <f t="shared" si="109"/>
        <v>2000</v>
      </c>
      <c r="G55" s="147">
        <f>+'Phụ lục số 2'!K37</f>
        <v>2000</v>
      </c>
      <c r="H55" s="147">
        <f>+'Phụ lục số 2'!L37</f>
        <v>0</v>
      </c>
      <c r="I55" s="147">
        <f>SUM(J55:K55)</f>
        <v>2000</v>
      </c>
      <c r="J55" s="147">
        <f>+'Phụ lục số 2'!P37</f>
        <v>2000</v>
      </c>
      <c r="K55" s="5674">
        <f>+'Phụ lục số 2'!Q37</f>
        <v>0</v>
      </c>
      <c r="L55" s="5522">
        <f>SUM(M55:N55)</f>
        <v>2000</v>
      </c>
      <c r="M55" s="867">
        <f>+'Phụ lục số 2'!U37</f>
        <v>2000</v>
      </c>
      <c r="N55" s="867">
        <f>+'Phụ lục số 2'!V37</f>
        <v>0</v>
      </c>
      <c r="O55" s="866">
        <f>SUM(P55:Q55)</f>
        <v>2000</v>
      </c>
      <c r="P55" s="867">
        <f>+'Phụ lục số 2'!Z37</f>
        <v>2000</v>
      </c>
      <c r="Q55" s="867">
        <f>+'Phụ lục số 2'!AA37</f>
        <v>0</v>
      </c>
      <c r="R55" s="5728">
        <f>SUM(S55:T55)</f>
        <v>2000</v>
      </c>
      <c r="S55" s="866">
        <f>+'Phụ lục số 2'!AE37</f>
        <v>2000</v>
      </c>
      <c r="T55" s="5725"/>
      <c r="U55" s="866">
        <f>SUM(V55:W55)</f>
        <v>2000</v>
      </c>
      <c r="V55" s="866">
        <f>+'Phụ lục số 2'!AJ37</f>
        <v>2000</v>
      </c>
      <c r="W55" s="5725"/>
      <c r="X55" s="866">
        <f>SUM(Y55:Z55)</f>
        <v>2000</v>
      </c>
      <c r="Y55" s="866">
        <f>+'Phụ lục số 2'!AO37</f>
        <v>2000</v>
      </c>
      <c r="Z55" s="5710"/>
    </row>
    <row r="56" spans="1:26" s="4" customFormat="1">
      <c r="A56" s="5729">
        <v>7</v>
      </c>
      <c r="B56" s="5727" t="s">
        <v>175</v>
      </c>
      <c r="C56" s="5724">
        <f t="shared" si="108"/>
        <v>327868.79999999999</v>
      </c>
      <c r="D56" s="5724">
        <f>+'Phụ lục số 2'!F38</f>
        <v>152264.29999999999</v>
      </c>
      <c r="E56" s="5724">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74">
        <f>+'Phụ lục số 2'!Q38</f>
        <v>212441.54999999996</v>
      </c>
      <c r="L56" s="5522">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28">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29">
        <v>8</v>
      </c>
      <c r="B57" s="5727" t="s">
        <v>213</v>
      </c>
      <c r="C57" s="5724">
        <f t="shared" si="108"/>
        <v>3000</v>
      </c>
      <c r="D57" s="5724">
        <f>+'Phụ lục số 2'!F36</f>
        <v>3000</v>
      </c>
      <c r="E57" s="5724">
        <f>+'Phụ lục số 2'!G36</f>
        <v>0</v>
      </c>
      <c r="F57" s="147">
        <f t="shared" si="109"/>
        <v>3000</v>
      </c>
      <c r="G57" s="147">
        <f>+'Phụ lục số 2'!K36</f>
        <v>3000</v>
      </c>
      <c r="H57" s="147">
        <f>+'Phụ lục số 2'!L36</f>
        <v>0</v>
      </c>
      <c r="I57" s="147">
        <f t="shared" si="110"/>
        <v>3500</v>
      </c>
      <c r="J57" s="147">
        <f>+'Phụ lục số 2'!P36</f>
        <v>3500</v>
      </c>
      <c r="K57" s="5674">
        <f>+'Phụ lục số 2'!Q36</f>
        <v>0</v>
      </c>
      <c r="L57" s="5522">
        <f t="shared" si="111"/>
        <v>3500</v>
      </c>
      <c r="M57" s="867">
        <f>+'Phụ lục số 2'!U36</f>
        <v>3500</v>
      </c>
      <c r="N57" s="867">
        <f>+'Phụ lục số 2'!V36</f>
        <v>0</v>
      </c>
      <c r="O57" s="866">
        <f t="shared" si="112"/>
        <v>3500</v>
      </c>
      <c r="P57" s="867">
        <f>+'Phụ lục số 2'!Z36</f>
        <v>3500</v>
      </c>
      <c r="Q57" s="867">
        <f>+'Phụ lục số 2'!AA36</f>
        <v>0</v>
      </c>
      <c r="R57" s="5728">
        <f t="shared" si="113"/>
        <v>3500</v>
      </c>
      <c r="S57" s="866">
        <f>+'Phụ lục số 2'!AE36</f>
        <v>3500</v>
      </c>
      <c r="T57" s="5725"/>
      <c r="U57" s="866">
        <f t="shared" si="114"/>
        <v>3500</v>
      </c>
      <c r="V57" s="866">
        <f>+'Phụ lục số 2'!AJ36</f>
        <v>3500</v>
      </c>
      <c r="W57" s="866">
        <f>+'Phụ lục số 2'!AK36</f>
        <v>0</v>
      </c>
      <c r="X57" s="866">
        <f t="shared" si="115"/>
        <v>3500</v>
      </c>
      <c r="Y57" s="866">
        <f>+'Phụ lục số 2'!AO36</f>
        <v>3500</v>
      </c>
      <c r="Z57" s="5710"/>
    </row>
    <row r="58" spans="1:26" s="4" customFormat="1">
      <c r="A58" s="5720" t="s">
        <v>33</v>
      </c>
      <c r="B58" s="5727" t="s">
        <v>214</v>
      </c>
      <c r="C58" s="5726">
        <f>SUM(D58:E58)</f>
        <v>1988976</v>
      </c>
      <c r="D58" s="5726">
        <f>SUM(D59,D62,D65)</f>
        <v>1988976</v>
      </c>
      <c r="E58" s="5726">
        <f t="shared" ref="E58" si="116">SUM(E59,E62,E65)</f>
        <v>0</v>
      </c>
      <c r="F58" s="1591">
        <f>SUM(G58:H58)</f>
        <v>2127535</v>
      </c>
      <c r="G58" s="1591">
        <f>SUM(G59,G62,G65)</f>
        <v>2127535</v>
      </c>
      <c r="H58" s="1591">
        <f t="shared" ref="H58" si="117">SUM(H59,H62,H65)</f>
        <v>0</v>
      </c>
      <c r="I58" s="147">
        <f>SUM(J58:K58)</f>
        <v>3036992</v>
      </c>
      <c r="J58" s="147">
        <f>SUM(J59,J62,J65)</f>
        <v>2782607</v>
      </c>
      <c r="K58" s="5674">
        <f t="shared" ref="K58" si="118">SUM(K59,K62,K65)</f>
        <v>254385</v>
      </c>
      <c r="L58" s="5693">
        <f>SUM(M58:N58)</f>
        <v>3036992</v>
      </c>
      <c r="M58" s="1591">
        <f>SUM(M59,M62,M65)</f>
        <v>2782607</v>
      </c>
      <c r="N58" s="1591">
        <f t="shared" ref="N58" si="119">SUM(N59,N62,N65)</f>
        <v>254385</v>
      </c>
      <c r="O58" s="1591">
        <f>SUM(P58:Q58)</f>
        <v>3036992</v>
      </c>
      <c r="P58" s="1591">
        <f>SUM(P59,P62,P65)</f>
        <v>2782607</v>
      </c>
      <c r="Q58" s="5650">
        <f t="shared" ref="Q58" si="120">SUM(Q59,Q62,Q65)</f>
        <v>254385</v>
      </c>
      <c r="R58" s="5693">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694">
        <f t="shared" ref="Z58" si="123">SUM(Z59,Z62,Z65)</f>
        <v>254385</v>
      </c>
    </row>
    <row r="59" spans="1:26">
      <c r="A59" s="5695">
        <v>1</v>
      </c>
      <c r="B59" s="1597" t="s">
        <v>178</v>
      </c>
      <c r="C59" s="5730">
        <f t="shared" ref="C59" si="124">SUM(D59:E59)</f>
        <v>1814491</v>
      </c>
      <c r="D59" s="5730">
        <f>SUM(D60:D61)</f>
        <v>1814491</v>
      </c>
      <c r="E59" s="5730">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52">
        <f t="shared" ref="K59" si="129">SUM(K60:K61)</f>
        <v>0</v>
      </c>
      <c r="L59" s="5718">
        <f t="shared" ref="L59" si="130">SUM(M59:N59)</f>
        <v>2530494</v>
      </c>
      <c r="M59" s="1597">
        <f>SUM(M60:M61)</f>
        <v>2530494</v>
      </c>
      <c r="N59" s="1597">
        <f t="shared" ref="N59" si="131">SUM(N60:N61)</f>
        <v>0</v>
      </c>
      <c r="O59" s="202">
        <f>SUM(O60:O61)</f>
        <v>2530494</v>
      </c>
      <c r="P59" s="202">
        <f t="shared" ref="P59:Q59" si="132">SUM(P60:P61)</f>
        <v>2530494</v>
      </c>
      <c r="Q59" s="5697">
        <f t="shared" si="132"/>
        <v>0</v>
      </c>
      <c r="R59" s="5731">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698">
        <f t="shared" si="135"/>
        <v>0</v>
      </c>
    </row>
    <row r="60" spans="1:26" hidden="1">
      <c r="A60" s="5695" t="s">
        <v>99</v>
      </c>
      <c r="B60" s="1597" t="s">
        <v>100</v>
      </c>
      <c r="C60" s="5730">
        <f>SUM(D60:E60)</f>
        <v>1681570</v>
      </c>
      <c r="D60" s="5730">
        <f>+'Phụ lục số 2'!F42</f>
        <v>1681570</v>
      </c>
      <c r="E60" s="5730">
        <f>+'Phụ lục số 2'!G42</f>
        <v>0</v>
      </c>
      <c r="F60" s="152">
        <f>SUM(G60:H60)</f>
        <v>1681570</v>
      </c>
      <c r="G60" s="152">
        <f>+'Phụ lục số 2'!K42</f>
        <v>1681570</v>
      </c>
      <c r="H60" s="152">
        <f>+'Phụ lục số 2'!L42</f>
        <v>0</v>
      </c>
      <c r="I60" s="152">
        <f>SUM(J60:K60)</f>
        <v>2399255</v>
      </c>
      <c r="J60" s="152">
        <f>+'Phụ lục số 2'!P42</f>
        <v>2399255</v>
      </c>
      <c r="K60" s="5552">
        <f>+'Phụ lục số 2'!Q42</f>
        <v>0</v>
      </c>
      <c r="L60" s="5731">
        <f>SUM(M60:N60)</f>
        <v>2399255</v>
      </c>
      <c r="M60" s="202">
        <f>+'Phụ lục số 2'!U42</f>
        <v>2399255</v>
      </c>
      <c r="N60" s="202">
        <f>+'Phụ lục số 2'!V42</f>
        <v>0</v>
      </c>
      <c r="O60" s="202">
        <f>SUM(P60:Q60)</f>
        <v>2399255</v>
      </c>
      <c r="P60" s="202">
        <f>+'Phụ lục số 2'!Z42</f>
        <v>2399255</v>
      </c>
      <c r="Q60" s="5697">
        <f>+'Phụ lục số 2'!AA42</f>
        <v>0</v>
      </c>
      <c r="R60" s="5731">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695" t="s">
        <v>101</v>
      </c>
      <c r="B61" s="1597" t="s">
        <v>102</v>
      </c>
      <c r="C61" s="5730">
        <f t="shared" ref="C61:C62" si="136">SUM(D61:E61)</f>
        <v>132921</v>
      </c>
      <c r="D61" s="5730">
        <f>+'Phụ lục số 2'!F43</f>
        <v>132921</v>
      </c>
      <c r="E61" s="5730">
        <f>+'Phụ lục số 2'!G43</f>
        <v>0</v>
      </c>
      <c r="F61" s="152">
        <f>SUM(G61:H61)</f>
        <v>132921</v>
      </c>
      <c r="G61" s="152">
        <f>+'Phụ lục số 2'!K43</f>
        <v>132921</v>
      </c>
      <c r="H61" s="152">
        <f>+'Phụ lục số 2'!L43</f>
        <v>0</v>
      </c>
      <c r="I61" s="152">
        <f>SUM(J61:K61)</f>
        <v>131239</v>
      </c>
      <c r="J61" s="152">
        <f>+'Phụ lục số 2'!P43</f>
        <v>131239</v>
      </c>
      <c r="K61" s="5552">
        <f>+'Phụ lục số 2'!Q43</f>
        <v>0</v>
      </c>
      <c r="L61" s="5731">
        <f>SUM(M61:N61)</f>
        <v>131239</v>
      </c>
      <c r="M61" s="202">
        <f>+'Phụ lục số 2'!U43</f>
        <v>131239</v>
      </c>
      <c r="N61" s="202">
        <f>+'Phụ lục số 2'!V43</f>
        <v>0</v>
      </c>
      <c r="O61" s="202">
        <f>SUM(P61:Q61)</f>
        <v>131239</v>
      </c>
      <c r="P61" s="202">
        <f>+'Phụ lục số 2'!Z43</f>
        <v>131239</v>
      </c>
      <c r="Q61" s="5697">
        <f>+'Phụ lục số 2'!AA43</f>
        <v>0</v>
      </c>
      <c r="R61" s="5731">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695">
        <v>2</v>
      </c>
      <c r="B62" s="1597" t="s">
        <v>179</v>
      </c>
      <c r="C62" s="5730">
        <f t="shared" si="136"/>
        <v>174485</v>
      </c>
      <c r="D62" s="5730">
        <f>SUM(D63:D64)</f>
        <v>174485</v>
      </c>
      <c r="E62" s="5730">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52">
        <f t="shared" ref="K62" si="141">SUM(K63:K64)</f>
        <v>96175</v>
      </c>
      <c r="L62" s="5718">
        <f t="shared" ref="L62" si="142">SUM(M62:N62)</f>
        <v>221912</v>
      </c>
      <c r="M62" s="1597">
        <f>SUM(M63:M64)</f>
        <v>125737</v>
      </c>
      <c r="N62" s="1597">
        <f t="shared" ref="N62" si="143">SUM(N63:N64)</f>
        <v>96175</v>
      </c>
      <c r="O62" s="202">
        <f>SUM(O63:O64)</f>
        <v>221912</v>
      </c>
      <c r="P62" s="202">
        <f t="shared" ref="P62:Q62" si="144">SUM(P63:P64)</f>
        <v>125737</v>
      </c>
      <c r="Q62" s="5697">
        <f t="shared" si="144"/>
        <v>96175</v>
      </c>
      <c r="R62" s="5731">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698">
        <f t="shared" si="147"/>
        <v>96175</v>
      </c>
    </row>
    <row r="63" spans="1:26" hidden="1">
      <c r="A63" s="5695" t="s">
        <v>99</v>
      </c>
      <c r="B63" s="1597" t="s">
        <v>103</v>
      </c>
      <c r="C63" s="5730">
        <f>SUM(D63:E63)</f>
        <v>72469</v>
      </c>
      <c r="D63" s="5730">
        <f>+'Phụ lục số 2'!F45</f>
        <v>72469</v>
      </c>
      <c r="E63" s="5730">
        <f>+'Phụ lục số 2'!G45</f>
        <v>0</v>
      </c>
      <c r="F63" s="152">
        <f>SUM(G63:H63)</f>
        <v>72469</v>
      </c>
      <c r="G63" s="152">
        <f>+'Phụ lục số 2'!K45</f>
        <v>72469</v>
      </c>
      <c r="H63" s="152">
        <f>+'Phụ lục số 2'!L45</f>
        <v>0</v>
      </c>
      <c r="I63" s="152">
        <f>SUM(J63:K63)</f>
        <v>186007</v>
      </c>
      <c r="J63" s="152">
        <f>+'Phụ lục số 2'!P45</f>
        <v>89832</v>
      </c>
      <c r="K63" s="5552">
        <f>+'Phụ lục số 2'!Q45</f>
        <v>96175</v>
      </c>
      <c r="L63" s="5731">
        <f>SUM(M63:N63)</f>
        <v>186007</v>
      </c>
      <c r="M63" s="202">
        <f>+'Phụ lục số 2'!U45</f>
        <v>89832</v>
      </c>
      <c r="N63" s="202">
        <f>+'Phụ lục số 2'!V45</f>
        <v>96175</v>
      </c>
      <c r="O63" s="202">
        <f>SUM(P63:Q63)</f>
        <v>186007</v>
      </c>
      <c r="P63" s="202">
        <f>+'Phụ lục số 2'!Z45</f>
        <v>89832</v>
      </c>
      <c r="Q63" s="5697">
        <f>+'Phụ lục số 2'!AA45</f>
        <v>96175</v>
      </c>
      <c r="R63" s="5731">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695" t="s">
        <v>101</v>
      </c>
      <c r="B64" s="1597" t="s">
        <v>102</v>
      </c>
      <c r="C64" s="5730">
        <f t="shared" ref="C64:C68" si="148">SUM(D64:E64)</f>
        <v>102016</v>
      </c>
      <c r="D64" s="5730">
        <f>+'Phụ lục số 2'!F46</f>
        <v>102016</v>
      </c>
      <c r="E64" s="5730">
        <f>+'Phụ lục số 2'!G46</f>
        <v>0</v>
      </c>
      <c r="F64" s="152">
        <f>SUM(G64:H64)</f>
        <v>102016</v>
      </c>
      <c r="G64" s="152">
        <f>+'Phụ lục số 2'!K46</f>
        <v>102016</v>
      </c>
      <c r="H64" s="152">
        <f>+'Phụ lục số 2'!L46</f>
        <v>0</v>
      </c>
      <c r="I64" s="152">
        <f>SUM(J64:K64)</f>
        <v>35905</v>
      </c>
      <c r="J64" s="152">
        <f>+'Phụ lục số 2'!P46</f>
        <v>35905</v>
      </c>
      <c r="K64" s="5552">
        <f>+'Phụ lục số 2'!Q46</f>
        <v>0</v>
      </c>
      <c r="L64" s="5731">
        <f>SUM(M64:N64)</f>
        <v>35905</v>
      </c>
      <c r="M64" s="202">
        <f>+'Phụ lục số 2'!U46</f>
        <v>35905</v>
      </c>
      <c r="N64" s="202">
        <f>+'Phụ lục số 2'!V46</f>
        <v>0</v>
      </c>
      <c r="O64" s="202">
        <f>SUM(P64:Q64)</f>
        <v>35905</v>
      </c>
      <c r="P64" s="202">
        <f>+'Phụ lục số 2'!Z46</f>
        <v>35905</v>
      </c>
      <c r="Q64" s="5697">
        <f>+'Phụ lục số 2'!AA46</f>
        <v>0</v>
      </c>
      <c r="R64" s="5731">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695">
        <v>3</v>
      </c>
      <c r="B65" s="1597" t="s">
        <v>180</v>
      </c>
      <c r="C65" s="5730">
        <f t="shared" si="148"/>
        <v>0</v>
      </c>
      <c r="D65" s="5730">
        <f>SUM(D66:D67)</f>
        <v>0</v>
      </c>
      <c r="E65" s="5730">
        <f t="shared" ref="E65" si="149">SUM(E66:E67)</f>
        <v>0</v>
      </c>
      <c r="F65" s="152">
        <f>SUM(F66:F67)</f>
        <v>138559</v>
      </c>
      <c r="G65" s="152">
        <f t="shared" ref="G65:H65" si="150">SUM(G66:G67)</f>
        <v>138559</v>
      </c>
      <c r="H65" s="152">
        <f t="shared" si="150"/>
        <v>0</v>
      </c>
      <c r="I65" s="152">
        <f>SUM(I66:I67)</f>
        <v>284586</v>
      </c>
      <c r="J65" s="152">
        <f t="shared" ref="J65:K65" si="151">SUM(J66:J67)</f>
        <v>126376</v>
      </c>
      <c r="K65" s="5552">
        <f t="shared" si="151"/>
        <v>158210</v>
      </c>
      <c r="L65" s="5527">
        <f>SUM(L66:L67)</f>
        <v>284586</v>
      </c>
      <c r="M65" s="152">
        <f t="shared" ref="M65:N65" si="152">SUM(M66:M67)</f>
        <v>126376</v>
      </c>
      <c r="N65" s="152">
        <f t="shared" si="152"/>
        <v>158210</v>
      </c>
      <c r="O65" s="202">
        <f>SUM(O66:O67)</f>
        <v>284586</v>
      </c>
      <c r="P65" s="202">
        <f t="shared" ref="P65:Q65" si="153">SUM(P66:P67)</f>
        <v>126376</v>
      </c>
      <c r="Q65" s="5697">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698">
        <f t="shared" si="156"/>
        <v>158210</v>
      </c>
    </row>
    <row r="66" spans="1:26" hidden="1">
      <c r="A66" s="5695" t="s">
        <v>99</v>
      </c>
      <c r="B66" s="1597" t="s">
        <v>104</v>
      </c>
      <c r="C66" s="5730">
        <f t="shared" si="148"/>
        <v>0</v>
      </c>
      <c r="D66" s="5730">
        <f>+'Phụ lục số 2'!F48</f>
        <v>0</v>
      </c>
      <c r="E66" s="5730">
        <f>+'Phụ lục số 2'!G48</f>
        <v>0</v>
      </c>
      <c r="F66" s="152">
        <f>SUM(G66:H66)</f>
        <v>0</v>
      </c>
      <c r="G66" s="152">
        <f>+'Phụ lục số 2'!K48</f>
        <v>0</v>
      </c>
      <c r="H66" s="152">
        <f>+'Phụ lục số 2'!L48</f>
        <v>0</v>
      </c>
      <c r="I66" s="152">
        <f>SUM(J66:K66)</f>
        <v>0</v>
      </c>
      <c r="J66" s="152">
        <f>+'Phụ lục số 2'!P48</f>
        <v>0</v>
      </c>
      <c r="K66" s="5552">
        <f>+'Phụ lục số 2'!Q48</f>
        <v>0</v>
      </c>
      <c r="L66" s="5731">
        <f>SUM(M66:N66)</f>
        <v>0</v>
      </c>
      <c r="M66" s="202">
        <f>+'Phụ lục số 2'!U48</f>
        <v>0</v>
      </c>
      <c r="N66" s="202">
        <f>+'Phụ lục số 2'!V48</f>
        <v>0</v>
      </c>
      <c r="O66" s="202">
        <f>SUM(P66:Q66)</f>
        <v>0</v>
      </c>
      <c r="P66" s="202">
        <f>+'Phụ lục số 2'!Z48</f>
        <v>0</v>
      </c>
      <c r="Q66" s="5697">
        <f>+'Phụ lục số 2'!AA48</f>
        <v>0</v>
      </c>
      <c r="R66" s="5731">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695" t="s">
        <v>101</v>
      </c>
      <c r="B67" s="1597" t="s">
        <v>105</v>
      </c>
      <c r="C67" s="5730">
        <f t="shared" si="148"/>
        <v>0</v>
      </c>
      <c r="D67" s="5730">
        <f>+'Phụ lục số 2'!F49</f>
        <v>0</v>
      </c>
      <c r="E67" s="5730">
        <f>+'Phụ lục số 2'!G49</f>
        <v>0</v>
      </c>
      <c r="F67" s="152">
        <f>SUM(G67:H67)</f>
        <v>138559</v>
      </c>
      <c r="G67" s="152">
        <f>+'Phụ lục số 2'!K49</f>
        <v>138559</v>
      </c>
      <c r="H67" s="152">
        <f>+'Phụ lục số 2'!L49</f>
        <v>0</v>
      </c>
      <c r="I67" s="152">
        <f>SUM(J67:K67)</f>
        <v>284586</v>
      </c>
      <c r="J67" s="152">
        <f>+'Phụ lục số 2'!P49</f>
        <v>126376</v>
      </c>
      <c r="K67" s="5552">
        <f>+'Phụ lục số 2'!Q49</f>
        <v>158210</v>
      </c>
      <c r="L67" s="5731">
        <f>SUM(M67:N67)</f>
        <v>284586</v>
      </c>
      <c r="M67" s="202">
        <f>+'Phụ lục số 2'!U49</f>
        <v>126376</v>
      </c>
      <c r="N67" s="202">
        <f>+'Phụ lục số 2'!V49</f>
        <v>158210</v>
      </c>
      <c r="O67" s="202">
        <f>SUM(P67:Q67)</f>
        <v>284586</v>
      </c>
      <c r="P67" s="202">
        <f>+'Phụ lục số 2'!Z49</f>
        <v>126376</v>
      </c>
      <c r="Q67" s="5697">
        <f>+'Phụ lục số 2'!AA49</f>
        <v>158210</v>
      </c>
      <c r="R67" s="5731">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48" t="s">
        <v>182</v>
      </c>
      <c r="B68" s="5732" t="s">
        <v>181</v>
      </c>
      <c r="C68" s="5726">
        <f t="shared" si="148"/>
        <v>0</v>
      </c>
      <c r="D68" s="5730"/>
      <c r="E68" s="5730"/>
      <c r="F68" s="147">
        <f>SUM(G68:H68)</f>
        <v>0</v>
      </c>
      <c r="G68" s="152">
        <f>+'Phụ lục số 2'!K50</f>
        <v>0</v>
      </c>
      <c r="H68" s="152">
        <f>+'Phụ lục số 2'!L50</f>
        <v>0</v>
      </c>
      <c r="I68" s="147">
        <f>SUM(J68:K68)</f>
        <v>0</v>
      </c>
      <c r="J68" s="147">
        <f>'Phụ lục số II'!P45</f>
        <v>0</v>
      </c>
      <c r="K68" s="5552"/>
      <c r="L68" s="5728">
        <f>SUM(M68:N68)</f>
        <v>0</v>
      </c>
      <c r="M68" s="866">
        <f>+'Phụ lục số 2'!U50</f>
        <v>0</v>
      </c>
      <c r="N68" s="866">
        <f>+'Phụ lục số 2'!V50</f>
        <v>0</v>
      </c>
      <c r="O68" s="866">
        <f>SUM(P68:Q68)</f>
        <v>0</v>
      </c>
      <c r="P68" s="866">
        <f>+'Phụ lục số 2'!Z50</f>
        <v>0</v>
      </c>
      <c r="Q68" s="5733">
        <f>+'Phụ lục số 2'!AA50</f>
        <v>0</v>
      </c>
      <c r="R68" s="5728">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48" t="s">
        <v>718</v>
      </c>
      <c r="B69" s="5649" t="s">
        <v>216</v>
      </c>
      <c r="C69" s="5730"/>
      <c r="D69" s="5730"/>
      <c r="E69" s="5730"/>
      <c r="F69" s="147">
        <f>SUM(G69:H69)</f>
        <v>0</v>
      </c>
      <c r="G69" s="147">
        <f>H18</f>
        <v>0</v>
      </c>
      <c r="H69" s="147"/>
      <c r="I69" s="142">
        <f>SUM(J69:K69)</f>
        <v>0</v>
      </c>
      <c r="J69" s="142">
        <f>K18</f>
        <v>0</v>
      </c>
      <c r="K69" s="5547"/>
      <c r="L69" s="5772">
        <f>+M69+N69</f>
        <v>0</v>
      </c>
      <c r="M69" s="5724">
        <f>+N18</f>
        <v>0</v>
      </c>
      <c r="N69" s="5722"/>
      <c r="O69" s="5722">
        <f>+P69+Q69</f>
        <v>0</v>
      </c>
      <c r="P69" s="5724">
        <f>+Q18</f>
        <v>0</v>
      </c>
      <c r="Q69" s="5734"/>
      <c r="R69" s="5735"/>
      <c r="S69" s="5736"/>
      <c r="T69" s="5736"/>
      <c r="U69" s="5736"/>
      <c r="V69" s="5736"/>
      <c r="W69" s="5736"/>
      <c r="X69" s="5737"/>
      <c r="Y69" s="5737"/>
      <c r="Z69" s="5738"/>
    </row>
    <row r="70" spans="1:26">
      <c r="A70" s="5739" t="s">
        <v>744</v>
      </c>
      <c r="B70" s="1607" t="s">
        <v>3233</v>
      </c>
      <c r="C70" s="5730"/>
      <c r="D70" s="5730"/>
      <c r="E70" s="5730"/>
      <c r="F70" s="147"/>
      <c r="G70" s="147"/>
      <c r="H70" s="147"/>
      <c r="I70" s="142">
        <f>SUM(J70:K70)</f>
        <v>5553.7960000000003</v>
      </c>
      <c r="J70" s="142">
        <f>+'Phụ lục số 2'!P51</f>
        <v>5553.7960000000003</v>
      </c>
      <c r="K70" s="5548">
        <f>+'Phụ lục số 2'!Q51</f>
        <v>0</v>
      </c>
      <c r="L70" s="5773">
        <f>+M70+N70</f>
        <v>0</v>
      </c>
      <c r="M70" s="5722">
        <f>+'Phụ lục số 2'!U51</f>
        <v>0</v>
      </c>
      <c r="N70" s="5722">
        <f>+'Phụ lục số 2'!V51</f>
        <v>0</v>
      </c>
      <c r="O70" s="5722">
        <f>+P70+Q70</f>
        <v>0</v>
      </c>
      <c r="P70" s="5724">
        <f>+'Phụ lục số 2'!Z51</f>
        <v>0</v>
      </c>
      <c r="Q70" s="5740">
        <f>+'Phụ lục số 2'!AA51</f>
        <v>0</v>
      </c>
      <c r="R70" s="5741"/>
      <c r="S70" s="5741"/>
      <c r="T70" s="5741"/>
      <c r="U70" s="5741"/>
      <c r="V70" s="5741"/>
      <c r="W70" s="5741"/>
      <c r="X70" s="5742"/>
      <c r="Y70" s="5742"/>
      <c r="Z70" s="5743"/>
    </row>
    <row r="71" spans="1:26" s="5302" customFormat="1">
      <c r="A71" s="5685" t="s">
        <v>44</v>
      </c>
      <c r="B71" s="5744"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45">
        <f>J8-J33-J72</f>
        <v>7078351.9069999978</v>
      </c>
      <c r="K71" s="5778">
        <f>K8-K33-K72</f>
        <v>-7078351.9070000034</v>
      </c>
      <c r="L71" s="5768">
        <f>M71+N71</f>
        <v>-8.7682530283927917E-4</v>
      </c>
      <c r="M71" s="5687">
        <f>M8-M33</f>
        <v>7078351.9064375646</v>
      </c>
      <c r="N71" s="5687">
        <f>N8-N33</f>
        <v>-7078351.9073143899</v>
      </c>
      <c r="O71" s="5687">
        <f>P71+Q71</f>
        <v>1.939261332154274E-3</v>
      </c>
      <c r="P71" s="5687">
        <f>P8-P33</f>
        <v>7078351.9096501376</v>
      </c>
      <c r="Q71" s="5688">
        <f>Q8-Q33</f>
        <v>-7078351.9077108763</v>
      </c>
      <c r="R71" s="5746">
        <f>S71+T71</f>
        <v>-4.250379279255867E-4</v>
      </c>
      <c r="S71" s="5747">
        <f>S8-S33</f>
        <v>7078351.9071928896</v>
      </c>
      <c r="T71" s="5747">
        <f>T8-T33</f>
        <v>-7078351.9076179275</v>
      </c>
      <c r="U71" s="5747">
        <f>V71+W71</f>
        <v>7.3439870029687881E-3</v>
      </c>
      <c r="V71" s="5747">
        <f>V8-V33</f>
        <v>7078351.9092740007</v>
      </c>
      <c r="W71" s="5747">
        <f>W8-W33</f>
        <v>-7078351.9019300137</v>
      </c>
      <c r="X71" s="5747">
        <f>Y71+Z71</f>
        <v>3.2603433355689049E-3</v>
      </c>
      <c r="Y71" s="5747">
        <f>Y8-Y33</f>
        <v>7078351.909637196</v>
      </c>
      <c r="Z71" s="5748">
        <f>Z8-Z33</f>
        <v>-7078351.9063768527</v>
      </c>
    </row>
    <row r="72" spans="1:26" s="5302" customFormat="1">
      <c r="A72" s="5685" t="s">
        <v>46</v>
      </c>
      <c r="B72" s="5749" t="s">
        <v>347</v>
      </c>
      <c r="C72" s="1600"/>
      <c r="D72" s="1600"/>
      <c r="E72" s="1600"/>
      <c r="F72" s="173">
        <f>SUM(G72:H72)</f>
        <v>0</v>
      </c>
      <c r="G72" s="173"/>
      <c r="H72" s="173"/>
      <c r="I72" s="173">
        <f>+J72+K72</f>
        <v>186700</v>
      </c>
      <c r="J72" s="173">
        <f>+'Phụ lục số 2'!P52</f>
        <v>186700</v>
      </c>
      <c r="K72" s="5535">
        <f>+'Phụ lục số 2'!Q52</f>
        <v>0</v>
      </c>
      <c r="L72" s="5768">
        <f>+M72+N72</f>
        <v>0</v>
      </c>
      <c r="M72" s="5687">
        <f>+'Phụ lục số 2'!U52</f>
        <v>0</v>
      </c>
      <c r="N72" s="5687">
        <f>+'Phụ lục số 2'!V52</f>
        <v>0</v>
      </c>
      <c r="O72" s="5687">
        <f>+P72+Q72</f>
        <v>0</v>
      </c>
      <c r="P72" s="5687">
        <f>+'Phụ lục số 2'!Z52</f>
        <v>0</v>
      </c>
      <c r="Q72" s="5688">
        <f>+'Phụ lục số 2'!AA52</f>
        <v>0</v>
      </c>
      <c r="R72" s="5750"/>
      <c r="S72" s="5750"/>
      <c r="T72" s="5750"/>
      <c r="U72" s="5750"/>
      <c r="V72" s="5750"/>
      <c r="W72" s="5750"/>
      <c r="X72" s="5750"/>
      <c r="Y72" s="5750"/>
      <c r="Z72" s="5751"/>
    </row>
    <row r="73" spans="1:26" ht="16.2" thickBot="1">
      <c r="A73" s="5752"/>
      <c r="B73" s="5753"/>
      <c r="C73" s="5753"/>
      <c r="D73" s="5753"/>
      <c r="E73" s="5753"/>
      <c r="F73" s="5754"/>
      <c r="G73" s="5754"/>
      <c r="H73" s="5754"/>
      <c r="I73" s="5755"/>
      <c r="J73" s="5755"/>
      <c r="K73" s="5779"/>
      <c r="L73" s="5774"/>
      <c r="M73" s="5753"/>
      <c r="N73" s="5753"/>
      <c r="O73" s="5753"/>
      <c r="P73" s="5753"/>
      <c r="Q73" s="5756"/>
      <c r="R73" s="5757"/>
      <c r="S73" s="5758"/>
      <c r="T73" s="5758"/>
      <c r="U73" s="5758"/>
      <c r="V73" s="5758"/>
      <c r="W73" s="5758"/>
      <c r="X73" s="5758"/>
      <c r="Y73" s="5758"/>
      <c r="Z73" s="5759"/>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067" t="s">
        <v>746</v>
      </c>
      <c r="J78" s="6067"/>
      <c r="K78" s="6067"/>
      <c r="L78" s="6224" t="s">
        <v>747</v>
      </c>
      <c r="M78" s="6225"/>
      <c r="N78" s="6226"/>
      <c r="O78" s="6224" t="s">
        <v>748</v>
      </c>
      <c r="P78" s="6225"/>
      <c r="Q78" s="6226"/>
      <c r="R78" s="6224" t="s">
        <v>749</v>
      </c>
      <c r="S78" s="6225"/>
      <c r="T78" s="6226"/>
      <c r="U78" s="6224" t="s">
        <v>750</v>
      </c>
      <c r="V78" s="6225"/>
      <c r="W78" s="6226"/>
      <c r="X78" s="6224" t="s">
        <v>751</v>
      </c>
      <c r="Y78" s="6225"/>
      <c r="Z78" s="6226"/>
    </row>
    <row r="79" spans="1:26" hidden="1">
      <c r="A79" s="1539" t="s">
        <v>247</v>
      </c>
      <c r="B79" s="1539" t="s">
        <v>735</v>
      </c>
      <c r="C79" s="10"/>
      <c r="D79" s="10"/>
      <c r="E79" s="10"/>
      <c r="F79" s="10"/>
      <c r="G79" s="10"/>
      <c r="H79" s="10"/>
      <c r="I79" s="5760">
        <f>+I80+I86+I90+I91+I92+I93</f>
        <v>1283861.4432889216</v>
      </c>
      <c r="J79" s="5760">
        <f>+J80+J86+J90+J91+J92+J93</f>
        <v>-305002.56900000002</v>
      </c>
      <c r="K79" s="5760">
        <f t="shared" ref="K79" si="157">+K80+K86+K90+K91+K92+K93</f>
        <v>1588864.0122889217</v>
      </c>
      <c r="L79" s="5760">
        <f>+L80+L86+L90+L91+L92+L93</f>
        <v>940679.57534025481</v>
      </c>
      <c r="M79" s="5760">
        <f>+M80+M86+M90+M91+M92+M93</f>
        <v>720730.06539071701</v>
      </c>
      <c r="N79" s="5760">
        <f t="shared" ref="N79" si="158">+N80+N86+N90+N91+N92+N93</f>
        <v>219949.50994953787</v>
      </c>
      <c r="O79" s="5760">
        <f>+O80+O86+O90+O91+O92+O93</f>
        <v>750194.52254271728</v>
      </c>
      <c r="P79" s="5760">
        <f t="shared" ref="P79:Q79" si="159">+P80+P86+P90+P91+P92+P93</f>
        <v>456355.48814868531</v>
      </c>
      <c r="Q79" s="5760">
        <f t="shared" si="159"/>
        <v>293839.03439403203</v>
      </c>
      <c r="R79" s="5760">
        <f>+R80+R86+R90+R91+R92+R93</f>
        <v>842654.84577478247</v>
      </c>
      <c r="S79" s="5760">
        <f t="shared" ref="S79:T79" si="160">+S80+S86+S90+S91+S92+S93</f>
        <v>356831.67391867272</v>
      </c>
      <c r="T79" s="5760">
        <f t="shared" si="160"/>
        <v>485823.17185610975</v>
      </c>
      <c r="U79" s="5760">
        <f>+U80+U86+U90+U91+U92+U93</f>
        <v>1390006.8132633793</v>
      </c>
      <c r="V79" s="5760">
        <f t="shared" ref="V79:W79" si="161">+V80+V86+V90+V91+V92+V93</f>
        <v>617433.81173430756</v>
      </c>
      <c r="W79" s="5760">
        <f t="shared" si="161"/>
        <v>772573.00152907183</v>
      </c>
      <c r="X79" s="5760">
        <f>+X80+X86+X90+X91+X92+X93</f>
        <v>2026635.463410439</v>
      </c>
      <c r="Y79" s="5760">
        <f t="shared" ref="Y79:Z79" si="162">+Y80+Y86+Y90+Y91+Y92+Y93</f>
        <v>1073502.4820073519</v>
      </c>
      <c r="Z79" s="5760">
        <f t="shared" si="162"/>
        <v>953132.9814030875</v>
      </c>
    </row>
    <row r="80" spans="1:26" hidden="1">
      <c r="A80" s="857" t="s">
        <v>3</v>
      </c>
      <c r="B80" s="5761"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62"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62"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62"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62"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62"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63"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62"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62"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62"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63"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63"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63"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64" t="s">
        <v>745</v>
      </c>
      <c r="B93" s="5765"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6" t="s">
        <v>1658</v>
      </c>
      <c r="B1" s="6576"/>
      <c r="C1" s="6576"/>
    </row>
    <row r="2" spans="1:7" s="386" customFormat="1" ht="17.399999999999999" hidden="1">
      <c r="A2" s="6576" t="s">
        <v>1673</v>
      </c>
      <c r="B2" s="6576"/>
      <c r="C2" s="6576"/>
    </row>
    <row r="3" spans="1:7" s="386" customFormat="1" ht="17.399999999999999" hidden="1">
      <c r="C3" s="641"/>
    </row>
    <row r="4" spans="1:7">
      <c r="A4" s="6292" t="s">
        <v>3186</v>
      </c>
      <c r="B4" s="6082"/>
      <c r="C4" s="6082"/>
    </row>
    <row r="5" spans="1:7">
      <c r="A5" s="6597" t="s">
        <v>3282</v>
      </c>
      <c r="B5" s="6597"/>
      <c r="C5" s="6597"/>
    </row>
    <row r="6" spans="1:7">
      <c r="A6" s="317"/>
      <c r="B6" s="317"/>
      <c r="C6" s="317"/>
    </row>
    <row r="7" spans="1:7" ht="18.600000000000001" thickBot="1">
      <c r="A7" s="317"/>
      <c r="B7" s="6508" t="s">
        <v>638</v>
      </c>
      <c r="C7" s="6508"/>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598" t="s">
        <v>3190</v>
      </c>
      <c r="B4" s="6598"/>
      <c r="C4" s="6598"/>
    </row>
    <row r="5" spans="1:3" s="2663" customFormat="1">
      <c r="A5" s="6599" t="str">
        <f>+'Phụ lục 1-CKNS'!A5:C5</f>
        <v>(Kèm theo Quyết định số       /QĐ-UBND-HC ngày     /12/2024 của Ủy ban nhân dân tỉnh Đồng Tháp)</v>
      </c>
      <c r="B5" s="6599"/>
      <c r="C5" s="6599"/>
    </row>
    <row r="6" spans="1:3" s="2663" customFormat="1">
      <c r="A6" s="5256"/>
      <c r="B6" s="5256"/>
      <c r="C6" s="5256"/>
    </row>
    <row r="7" spans="1:3" s="2663" customFormat="1" thickBot="1">
      <c r="A7" s="5257"/>
      <c r="B7" s="6600" t="s">
        <v>638</v>
      </c>
      <c r="C7" s="6600"/>
    </row>
    <row r="8" spans="1:3" s="2668" customFormat="1" thickTop="1">
      <c r="A8" s="6601" t="s">
        <v>1660</v>
      </c>
      <c r="B8" s="6603" t="s">
        <v>201</v>
      </c>
      <c r="C8" s="6605" t="s">
        <v>1455</v>
      </c>
    </row>
    <row r="9" spans="1:3" s="2668" customFormat="1" ht="17.399999999999999">
      <c r="A9" s="6602"/>
      <c r="B9" s="6604"/>
      <c r="C9" s="6606"/>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13" t="s">
        <v>980</v>
      </c>
      <c r="B1" s="6113"/>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11" t="s">
        <v>981</v>
      </c>
      <c r="B2" s="6111"/>
      <c r="C2" s="6111"/>
      <c r="D2" s="6111"/>
      <c r="E2" s="6111"/>
      <c r="F2" s="6111"/>
      <c r="G2" s="6111"/>
      <c r="H2" s="6111"/>
      <c r="I2" s="6111"/>
      <c r="J2" s="6111"/>
      <c r="K2" s="6111"/>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12" t="s">
        <v>1200</v>
      </c>
      <c r="B3" s="6112"/>
      <c r="C3" s="6112"/>
      <c r="D3" s="6112"/>
      <c r="E3" s="6112"/>
      <c r="F3" s="6112"/>
      <c r="G3" s="6112"/>
      <c r="H3" s="6112"/>
      <c r="I3" s="6112"/>
      <c r="J3" s="6112"/>
      <c r="K3" s="6112"/>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075" t="s">
        <v>247</v>
      </c>
      <c r="B6" s="6114" t="s">
        <v>983</v>
      </c>
      <c r="C6" s="6115" t="s">
        <v>984</v>
      </c>
      <c r="D6" s="6115"/>
      <c r="E6" s="6115"/>
      <c r="F6" s="6115"/>
      <c r="G6" s="6115"/>
      <c r="H6" s="6115"/>
      <c r="I6" s="6115"/>
      <c r="J6" s="6115"/>
      <c r="K6" s="6115"/>
      <c r="L6" s="6103" t="s">
        <v>985</v>
      </c>
      <c r="M6" s="6103"/>
      <c r="N6" s="6103"/>
      <c r="O6" s="6103"/>
      <c r="P6" s="6103"/>
      <c r="Q6" s="6103"/>
      <c r="R6" s="6103"/>
      <c r="S6" s="6103"/>
      <c r="T6" s="6103"/>
      <c r="U6" s="6103"/>
      <c r="V6" s="6103"/>
      <c r="W6" s="6103" t="s">
        <v>986</v>
      </c>
      <c r="X6" s="6103"/>
      <c r="Y6" s="6103"/>
      <c r="Z6" s="6103"/>
      <c r="AA6" s="6103"/>
      <c r="AB6" s="6103"/>
      <c r="AC6" s="6103"/>
      <c r="AD6" s="6103"/>
      <c r="AE6" s="6103"/>
      <c r="AF6" s="6103"/>
      <c r="AG6" s="6103" t="s">
        <v>861</v>
      </c>
    </row>
    <row r="7" spans="1:34" s="1521" customFormat="1" ht="15.75" customHeight="1">
      <c r="A7" s="6075"/>
      <c r="B7" s="6114"/>
      <c r="C7" s="6103" t="s">
        <v>987</v>
      </c>
      <c r="D7" s="6103" t="s">
        <v>988</v>
      </c>
      <c r="E7" s="6103" t="s">
        <v>989</v>
      </c>
      <c r="F7" s="6103" t="s">
        <v>990</v>
      </c>
      <c r="G7" s="6110" t="s">
        <v>991</v>
      </c>
      <c r="H7" s="6107" t="s">
        <v>992</v>
      </c>
      <c r="I7" s="6107" t="s">
        <v>993</v>
      </c>
      <c r="J7" s="6107" t="s">
        <v>994</v>
      </c>
      <c r="K7" s="6107" t="s">
        <v>995</v>
      </c>
      <c r="L7" s="6103" t="s">
        <v>987</v>
      </c>
      <c r="M7" s="6103" t="s">
        <v>988</v>
      </c>
      <c r="N7" s="6103" t="s">
        <v>989</v>
      </c>
      <c r="O7" s="6103" t="s">
        <v>996</v>
      </c>
      <c r="P7" s="6103" t="s">
        <v>997</v>
      </c>
      <c r="Q7" s="6103" t="s">
        <v>998</v>
      </c>
      <c r="R7" s="6103"/>
      <c r="S7" s="6107" t="s">
        <v>992</v>
      </c>
      <c r="T7" s="6109" t="s">
        <v>993</v>
      </c>
      <c r="U7" s="6109" t="s">
        <v>999</v>
      </c>
      <c r="V7" s="6109" t="s">
        <v>995</v>
      </c>
      <c r="W7" s="6103" t="s">
        <v>987</v>
      </c>
      <c r="X7" s="6103" t="s">
        <v>988</v>
      </c>
      <c r="Y7" s="6103" t="s">
        <v>989</v>
      </c>
      <c r="Z7" s="6103" t="s">
        <v>996</v>
      </c>
      <c r="AA7" s="6103" t="s">
        <v>1000</v>
      </c>
      <c r="AB7" s="6103" t="s">
        <v>998</v>
      </c>
      <c r="AC7" s="6103"/>
      <c r="AD7" s="6103" t="s">
        <v>992</v>
      </c>
      <c r="AE7" s="6103" t="s">
        <v>993</v>
      </c>
      <c r="AF7" s="6107" t="s">
        <v>995</v>
      </c>
      <c r="AG7" s="6103"/>
    </row>
    <row r="8" spans="1:34" s="1521" customFormat="1" ht="214.5" customHeight="1">
      <c r="A8" s="6075"/>
      <c r="B8" s="6114"/>
      <c r="C8" s="6103"/>
      <c r="D8" s="6103"/>
      <c r="E8" s="6103"/>
      <c r="F8" s="6103"/>
      <c r="G8" s="6110"/>
      <c r="H8" s="6107"/>
      <c r="I8" s="6107"/>
      <c r="J8" s="6107"/>
      <c r="K8" s="6107"/>
      <c r="L8" s="6103"/>
      <c r="M8" s="6103"/>
      <c r="N8" s="6103"/>
      <c r="O8" s="6103"/>
      <c r="P8" s="6103"/>
      <c r="Q8" s="1511" t="s">
        <v>1001</v>
      </c>
      <c r="R8" s="1511" t="s">
        <v>1002</v>
      </c>
      <c r="S8" s="6107"/>
      <c r="T8" s="6109"/>
      <c r="U8" s="6109"/>
      <c r="V8" s="6109"/>
      <c r="W8" s="6103"/>
      <c r="X8" s="6103"/>
      <c r="Y8" s="6103"/>
      <c r="Z8" s="6103"/>
      <c r="AA8" s="6103"/>
      <c r="AB8" s="1511" t="s">
        <v>1001</v>
      </c>
      <c r="AC8" s="1511" t="s">
        <v>1002</v>
      </c>
      <c r="AD8" s="6103"/>
      <c r="AE8" s="6103"/>
      <c r="AF8" s="6107"/>
      <c r="AG8" s="6103"/>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08"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08"/>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08"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08"/>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08"/>
    </row>
    <row r="53" spans="1:33" s="1520" customFormat="1">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08"/>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08"/>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08"/>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08"/>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08"/>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08"/>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08"/>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46.8"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46.8"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04" t="s">
        <v>1114</v>
      </c>
      <c r="AA83" s="6104"/>
      <c r="AB83" s="6104"/>
      <c r="AC83" s="6104"/>
      <c r="AD83" s="6104"/>
      <c r="AE83" s="6104"/>
      <c r="AF83" s="6104"/>
      <c r="AG83" s="6104"/>
    </row>
    <row r="84" spans="1:33" ht="18" hidden="1">
      <c r="A84" s="1095" t="s">
        <v>1115</v>
      </c>
      <c r="B84" s="1116" t="s">
        <v>1116</v>
      </c>
      <c r="C84" s="2077"/>
      <c r="Y84" s="6105" t="s">
        <v>1117</v>
      </c>
      <c r="Z84" s="6105"/>
      <c r="AA84" s="6105"/>
      <c r="AB84" s="6105"/>
      <c r="AC84" s="6105"/>
      <c r="AD84" s="6105"/>
      <c r="AE84" s="6105"/>
      <c r="AF84" s="6105"/>
      <c r="AG84" s="6105"/>
    </row>
    <row r="85" spans="1:33" ht="18" hidden="1">
      <c r="B85" s="1116" t="s">
        <v>1118</v>
      </c>
      <c r="C85" s="2077"/>
      <c r="Z85" s="6105" t="s">
        <v>629</v>
      </c>
      <c r="AA85" s="6105"/>
      <c r="AB85" s="6105"/>
      <c r="AC85" s="6105"/>
      <c r="AD85" s="6105"/>
      <c r="AE85" s="6105"/>
      <c r="AF85" s="6105"/>
      <c r="AG85" s="6105"/>
    </row>
    <row r="86" spans="1:33" ht="18" hidden="1">
      <c r="C86" s="2077"/>
      <c r="Z86" s="6106" t="s">
        <v>630</v>
      </c>
      <c r="AA86" s="6106"/>
      <c r="AB86" s="6106"/>
      <c r="AC86" s="6106"/>
      <c r="AD86" s="6106"/>
      <c r="AE86" s="6106"/>
      <c r="AF86" s="6106"/>
      <c r="AG86" s="6106"/>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09" t="s">
        <v>1658</v>
      </c>
      <c r="C1" s="6509"/>
      <c r="D1" s="6509"/>
    </row>
    <row r="2" spans="1:8" s="386" customFormat="1" ht="17.399999999999999" hidden="1">
      <c r="B2" s="6509" t="s">
        <v>1659</v>
      </c>
      <c r="C2" s="6509"/>
      <c r="D2" s="6509"/>
    </row>
    <row r="3" spans="1:8" s="386" customFormat="1" ht="17.399999999999999" hidden="1">
      <c r="B3" s="641"/>
      <c r="C3" s="6283"/>
      <c r="D3" s="6283"/>
      <c r="E3" s="6283"/>
    </row>
    <row r="4" spans="1:8" s="386" customFormat="1" ht="17.399999999999999">
      <c r="A4" s="6292" t="s">
        <v>1416</v>
      </c>
      <c r="B4" s="6082"/>
      <c r="C4" s="6082"/>
      <c r="D4" s="6082"/>
      <c r="E4" s="6082"/>
    </row>
    <row r="5" spans="1:8" s="386" customFormat="1">
      <c r="A5" s="6510" t="str">
        <f>+'Phụ lục 2-CKNS'!A5:C5</f>
        <v>(Kèm theo Quyết định số       /QĐ-UBND-HC ngày     /12/2024 của Ủy ban nhân dân tỉnh Đồng Tháp)</v>
      </c>
      <c r="B5" s="6511"/>
      <c r="C5" s="6511"/>
      <c r="D5" s="6511"/>
      <c r="E5" s="6511"/>
    </row>
    <row r="6" spans="1:8" s="386" customFormat="1" ht="17.399999999999999">
      <c r="A6" s="2761"/>
      <c r="B6" s="319"/>
      <c r="C6" s="319"/>
      <c r="D6" s="319"/>
      <c r="E6" s="319"/>
    </row>
    <row r="7" spans="1:8" ht="18.600000000000001" thickBot="1">
      <c r="A7" s="47"/>
      <c r="B7" s="6508" t="s">
        <v>638</v>
      </c>
      <c r="C7" s="6508"/>
      <c r="D7" s="6508"/>
      <c r="E7" s="6508"/>
    </row>
    <row r="8" spans="1:8" s="386" customFormat="1" thickTop="1">
      <c r="A8" s="6503" t="s">
        <v>1660</v>
      </c>
      <c r="B8" s="6505" t="s">
        <v>137</v>
      </c>
      <c r="C8" s="6080" t="s">
        <v>1455</v>
      </c>
      <c r="D8" s="6080"/>
      <c r="E8" s="6081"/>
    </row>
    <row r="9" spans="1:8" s="386" customFormat="1" ht="17.399999999999999">
      <c r="A9" s="6504"/>
      <c r="B9" s="6294"/>
      <c r="C9" s="6294" t="s">
        <v>54</v>
      </c>
      <c r="D9" s="6506" t="s">
        <v>1710</v>
      </c>
      <c r="E9" s="6507"/>
    </row>
    <row r="10" spans="1:8" s="431" customFormat="1" ht="69.599999999999994">
      <c r="A10" s="6504"/>
      <c r="B10" s="6294"/>
      <c r="C10" s="6294"/>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2" t="str">
        <f>+'Phụ lục số 4'!B70</f>
        <v>- Trả nợ vay từ nguồn vốn Chính phủ vay về cho vay lại</v>
      </c>
      <c r="C55" s="6502"/>
      <c r="D55" s="5287">
        <f>+'Phụ lục số 4'!C70</f>
        <v>20800</v>
      </c>
      <c r="E55" s="5285" t="s">
        <v>3220</v>
      </c>
    </row>
    <row r="56" spans="1:5" s="873" customFormat="1">
      <c r="A56" s="1649"/>
      <c r="B56" s="6502" t="str">
        <f>+'Phụ lục số 4'!B71</f>
        <v>- Chương trình Cụm tuyến dân cư, tôn nền vượt lũ</v>
      </c>
      <c r="C56" s="6502"/>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6"/>
      <c r="B1" s="6576"/>
      <c r="C1" s="6576"/>
    </row>
    <row r="2" spans="1:4" hidden="1">
      <c r="A2" s="386"/>
      <c r="B2" s="386"/>
      <c r="C2" s="386"/>
    </row>
    <row r="3" spans="1:4">
      <c r="A3" s="6111" t="s">
        <v>3134</v>
      </c>
      <c r="B3" s="6047"/>
      <c r="C3" s="6047"/>
    </row>
    <row r="4" spans="1:4">
      <c r="A4" s="6514" t="str">
        <f>+'Phụ lục 3-CKNS'!A5:E5</f>
        <v>(Kèm theo Quyết định số       /QĐ-UBND-HC ngày     /12/2024 của Ủy ban nhân dân tỉnh Đồng Tháp)</v>
      </c>
      <c r="B4" s="6500"/>
      <c r="C4" s="6500"/>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3" t="s">
        <v>756</v>
      </c>
      <c r="B1" s="6283"/>
      <c r="C1" s="6283"/>
      <c r="D1" s="6283"/>
      <c r="E1" s="6283"/>
      <c r="F1" s="6283"/>
      <c r="G1" s="6283"/>
      <c r="H1" s="6283"/>
      <c r="I1" s="6283"/>
      <c r="J1" s="6283"/>
      <c r="K1" s="6283"/>
      <c r="L1" s="6283"/>
      <c r="M1" s="6283"/>
      <c r="N1" s="6283"/>
      <c r="O1" s="6283"/>
      <c r="P1" s="6283"/>
      <c r="Q1" s="6283"/>
      <c r="R1" s="6283"/>
      <c r="S1" s="6283"/>
      <c r="T1" s="6283"/>
      <c r="U1" s="6283"/>
      <c r="V1" s="6283"/>
      <c r="W1" s="6283"/>
      <c r="X1" s="6283"/>
      <c r="Y1" s="6283"/>
      <c r="Z1" s="6283"/>
      <c r="AA1" s="6283"/>
      <c r="AB1" s="6283"/>
      <c r="AC1" s="6283"/>
      <c r="AD1" s="6283"/>
      <c r="AE1" s="6283"/>
      <c r="AF1" s="6283"/>
      <c r="AG1" s="6283"/>
      <c r="AH1" s="6283"/>
      <c r="AI1" s="6283"/>
      <c r="AJ1" s="6283"/>
      <c r="AK1" s="6283"/>
      <c r="AL1" s="6283"/>
      <c r="AM1" s="6283"/>
    </row>
    <row r="2" spans="1:41">
      <c r="A2" s="6327" t="str">
        <f>+'Phụ lục 4-CKNS'!A4:C4</f>
        <v>(Kèm theo Quyết định số       /QĐ-UBND-HC ngày     /12/2024 của Ủy ban nhân dân tỉnh Đồng Tháp)</v>
      </c>
      <c r="B2" s="6327"/>
      <c r="C2" s="6327"/>
      <c r="D2" s="6327"/>
      <c r="E2" s="6327"/>
      <c r="F2" s="6327"/>
      <c r="G2" s="6327"/>
      <c r="H2" s="6327"/>
      <c r="I2" s="6327"/>
      <c r="J2" s="6327"/>
      <c r="K2" s="6327"/>
      <c r="L2" s="6327"/>
      <c r="M2" s="6327"/>
      <c r="N2" s="6327"/>
      <c r="O2" s="6327"/>
      <c r="P2" s="6327"/>
      <c r="Q2" s="6327"/>
      <c r="R2" s="6327"/>
      <c r="S2" s="6327"/>
      <c r="T2" s="6327"/>
      <c r="U2" s="6327"/>
      <c r="V2" s="6327"/>
      <c r="W2" s="6327"/>
      <c r="X2" s="6327"/>
      <c r="Y2" s="6327"/>
      <c r="Z2" s="6327"/>
      <c r="AA2" s="6327"/>
      <c r="AB2" s="6327"/>
      <c r="AC2" s="6327"/>
      <c r="AD2" s="6327"/>
      <c r="AE2" s="6327"/>
      <c r="AF2" s="6327"/>
      <c r="AG2" s="6327"/>
      <c r="AH2" s="6327"/>
      <c r="AI2" s="6327"/>
      <c r="AJ2" s="6327"/>
      <c r="AK2" s="6327"/>
      <c r="AL2" s="6327"/>
      <c r="AM2" s="6327"/>
    </row>
    <row r="3" spans="1:41">
      <c r="P3" s="667">
        <f>+P10-'Phụ lục số 5'!P10</f>
        <v>0</v>
      </c>
      <c r="AB3" s="426"/>
    </row>
    <row r="4" spans="1:41" ht="18.600000000000001" thickBot="1">
      <c r="C4" s="426">
        <f>+C10-'Phụ lục số 5'!C10</f>
        <v>0</v>
      </c>
      <c r="Y4" s="667"/>
      <c r="AH4" s="6518" t="s">
        <v>638</v>
      </c>
      <c r="AI4" s="6518"/>
      <c r="AJ4" s="6518"/>
      <c r="AK4" s="681"/>
    </row>
    <row r="5" spans="1:41" s="386" customFormat="1" ht="18.75" customHeight="1" thickTop="1">
      <c r="A5" s="6519" t="s">
        <v>136</v>
      </c>
      <c r="B5" s="6521" t="s">
        <v>639</v>
      </c>
      <c r="C5" s="6522" t="s">
        <v>121</v>
      </c>
      <c r="D5" s="6522"/>
      <c r="E5" s="6522"/>
      <c r="F5" s="6522"/>
      <c r="G5" s="6522"/>
      <c r="H5" s="6522"/>
      <c r="I5" s="6522"/>
      <c r="J5" s="6522"/>
      <c r="K5" s="6522"/>
      <c r="L5" s="6522"/>
      <c r="M5" s="6522"/>
      <c r="N5" s="6522"/>
      <c r="O5" s="6522"/>
      <c r="P5" s="6522"/>
      <c r="Q5" s="6522"/>
      <c r="R5" s="6522"/>
      <c r="S5" s="6522"/>
      <c r="T5" s="6522"/>
      <c r="U5" s="6522"/>
      <c r="V5" s="6522"/>
      <c r="W5" s="6522"/>
      <c r="X5" s="6522"/>
      <c r="Y5" s="6522"/>
      <c r="Z5" s="6522"/>
      <c r="AA5" s="6522"/>
      <c r="AB5" s="6522"/>
      <c r="AC5" s="6522"/>
      <c r="AD5" s="6522"/>
      <c r="AE5" s="6522"/>
      <c r="AF5" s="6522"/>
      <c r="AG5" s="6522"/>
      <c r="AH5" s="6522"/>
      <c r="AI5" s="6522"/>
      <c r="AJ5" s="6522"/>
      <c r="AK5" s="5010"/>
      <c r="AL5" s="6521" t="s">
        <v>640</v>
      </c>
      <c r="AM5" s="6523" t="s">
        <v>3230</v>
      </c>
      <c r="AN5" s="6525" t="s">
        <v>3174</v>
      </c>
    </row>
    <row r="6" spans="1:41" s="386" customFormat="1" ht="17.399999999999999">
      <c r="A6" s="6520"/>
      <c r="B6" s="6046"/>
      <c r="C6" s="6046" t="s">
        <v>641</v>
      </c>
      <c r="D6" s="6046" t="s">
        <v>642</v>
      </c>
      <c r="E6" s="6046"/>
      <c r="F6" s="6046"/>
      <c r="G6" s="6046"/>
      <c r="H6" s="6046"/>
      <c r="I6" s="6046"/>
      <c r="J6" s="6046"/>
      <c r="K6" s="6046"/>
      <c r="L6" s="6046"/>
      <c r="M6" s="6046"/>
      <c r="N6" s="6046"/>
      <c r="O6" s="6046"/>
      <c r="P6" s="6466" t="s">
        <v>643</v>
      </c>
      <c r="Q6" s="6466"/>
      <c r="R6" s="6466"/>
      <c r="S6" s="6466"/>
      <c r="T6" s="6466"/>
      <c r="U6" s="6466"/>
      <c r="V6" s="6466"/>
      <c r="W6" s="6466"/>
      <c r="X6" s="6466"/>
      <c r="Y6" s="6466"/>
      <c r="Z6" s="6466"/>
      <c r="AA6" s="6466"/>
      <c r="AB6" s="6466"/>
      <c r="AC6" s="6466"/>
      <c r="AD6" s="6046" t="s">
        <v>755</v>
      </c>
      <c r="AE6" s="6046" t="s">
        <v>174</v>
      </c>
      <c r="AF6" s="6046" t="s">
        <v>175</v>
      </c>
      <c r="AG6" s="6515" t="s">
        <v>176</v>
      </c>
      <c r="AH6" s="6046" t="s">
        <v>644</v>
      </c>
      <c r="AI6" s="6371" t="s">
        <v>645</v>
      </c>
      <c r="AJ6" s="6371"/>
      <c r="AK6" s="6046" t="s">
        <v>766</v>
      </c>
      <c r="AL6" s="6046"/>
      <c r="AM6" s="6513"/>
      <c r="AN6" s="6526"/>
    </row>
    <row r="7" spans="1:41" s="386" customFormat="1" ht="17.399999999999999">
      <c r="A7" s="6520"/>
      <c r="B7" s="6046"/>
      <c r="C7" s="6046"/>
      <c r="D7" s="6046" t="s">
        <v>646</v>
      </c>
      <c r="E7" s="6046" t="s">
        <v>645</v>
      </c>
      <c r="F7" s="6046"/>
      <c r="G7" s="6046"/>
      <c r="H7" s="6046"/>
      <c r="I7" s="6046"/>
      <c r="J7" s="6046"/>
      <c r="K7" s="6046"/>
      <c r="L7" s="6046"/>
      <c r="M7" s="6046"/>
      <c r="N7" s="6046"/>
      <c r="O7" s="6046"/>
      <c r="P7" s="6046" t="s">
        <v>647</v>
      </c>
      <c r="Q7" s="6466" t="s">
        <v>645</v>
      </c>
      <c r="R7" s="6466"/>
      <c r="S7" s="6466"/>
      <c r="T7" s="6466"/>
      <c r="U7" s="6466"/>
      <c r="V7" s="6466"/>
      <c r="W7" s="6466"/>
      <c r="X7" s="6466"/>
      <c r="Y7" s="6466"/>
      <c r="Z7" s="6466"/>
      <c r="AA7" s="6466"/>
      <c r="AB7" s="6466"/>
      <c r="AC7" s="6466"/>
      <c r="AD7" s="6046"/>
      <c r="AE7" s="6046"/>
      <c r="AF7" s="6046"/>
      <c r="AG7" s="6515"/>
      <c r="AH7" s="6046"/>
      <c r="AI7" s="6371"/>
      <c r="AJ7" s="6371"/>
      <c r="AK7" s="6046"/>
      <c r="AL7" s="6046"/>
      <c r="AM7" s="6513"/>
      <c r="AN7" s="6526"/>
    </row>
    <row r="8" spans="1:41" s="386" customFormat="1" ht="18.75" hidden="1" customHeight="1">
      <c r="A8" s="6520"/>
      <c r="B8" s="6046"/>
      <c r="C8" s="6046"/>
      <c r="D8" s="6046"/>
      <c r="E8" s="6325" t="str">
        <f>'[2]Phụ lục số 2'!B10</f>
        <v>Chi đầu tư xây dựng cơ bản</v>
      </c>
      <c r="F8" s="6325" t="str">
        <f>'[2]Phụ lục số 2'!B11</f>
        <v>Chi đầu tư từ nguồn thu tiền sử dụng đất</v>
      </c>
      <c r="G8" s="6516"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5" t="str">
        <f>'[2]Phụ lục số 2'!B12</f>
        <v>Chi đầu tư từ nguồn thu xổ số kiến thiết</v>
      </c>
      <c r="I8" s="6516" t="str">
        <f>+'Phụ lục số 5'!I8:I9</f>
        <v>Trong đó: Ủy thác qua Ngân hàng Chính sách xã hội chi nhánh tỉnh Đồng Tháp (từ nguồn thu sổ số kiến thiết năm 2025)</v>
      </c>
      <c r="J8" s="6325" t="str">
        <f>+'Phụ lục số 5'!J8:J9</f>
        <v>Chi đầu tư từ nguồn thu thoái vốn doanh nghiệp nhà nước địa phương quản lý;…</v>
      </c>
      <c r="K8" s="6325" t="str">
        <f>+'Phụ lục số 5'!K8:K9</f>
        <v xml:space="preserve">Chi đầu tư phát triển khác </v>
      </c>
      <c r="L8" s="430"/>
      <c r="M8" s="430"/>
      <c r="N8" s="430"/>
      <c r="O8" s="430"/>
      <c r="P8" s="6046"/>
      <c r="Q8" s="2239"/>
      <c r="R8" s="2239"/>
      <c r="S8" s="2239"/>
      <c r="T8" s="2239"/>
      <c r="U8" s="2239"/>
      <c r="V8" s="2239"/>
      <c r="W8" s="2239"/>
      <c r="X8" s="2239"/>
      <c r="Y8" s="2239"/>
      <c r="Z8" s="2239"/>
      <c r="AA8" s="2239"/>
      <c r="AB8" s="2239"/>
      <c r="AC8" s="2239"/>
      <c r="AD8" s="6046"/>
      <c r="AE8" s="6046"/>
      <c r="AF8" s="6046"/>
      <c r="AG8" s="6515"/>
      <c r="AH8" s="6046"/>
      <c r="AI8" s="2238"/>
      <c r="AJ8" s="2238"/>
      <c r="AK8" s="6046"/>
      <c r="AL8" s="6046"/>
      <c r="AM8" s="6513"/>
      <c r="AN8" s="6526"/>
    </row>
    <row r="9" spans="1:41" s="431" customFormat="1" ht="211.5" customHeight="1">
      <c r="A9" s="6520"/>
      <c r="B9" s="6046"/>
      <c r="C9" s="6046"/>
      <c r="D9" s="6046"/>
      <c r="E9" s="6336"/>
      <c r="F9" s="6336"/>
      <c r="G9" s="6517"/>
      <c r="H9" s="6336"/>
      <c r="I9" s="6517"/>
      <c r="J9" s="6336"/>
      <c r="K9" s="6336"/>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6"/>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6"/>
      <c r="AE9" s="6046"/>
      <c r="AF9" s="6046"/>
      <c r="AG9" s="6515"/>
      <c r="AH9" s="6046"/>
      <c r="AI9" s="430" t="s">
        <v>649</v>
      </c>
      <c r="AJ9" s="430" t="s">
        <v>650</v>
      </c>
      <c r="AK9" s="6046"/>
      <c r="AL9" s="6046"/>
      <c r="AM9" s="6341"/>
      <c r="AN9" s="6526"/>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N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si="4"/>
        <v>0</v>
      </c>
      <c r="AN11" s="5958">
        <f t="shared" si="4"/>
        <v>0</v>
      </c>
    </row>
    <row r="12" spans="1:41" s="382" customFormat="1">
      <c r="A12" s="606" t="s">
        <v>3</v>
      </c>
      <c r="B12" s="607" t="s">
        <v>653</v>
      </c>
      <c r="C12" s="5954">
        <f>SUM(C13:C43)</f>
        <v>2982510.3296019998</v>
      </c>
      <c r="D12" s="5954">
        <f t="shared" ref="D12:K12" si="5">SUM(D13:D43)</f>
        <v>0</v>
      </c>
      <c r="E12" s="5954">
        <f t="shared" si="5"/>
        <v>0</v>
      </c>
      <c r="F12" s="5954">
        <f t="shared" si="5"/>
        <v>0</v>
      </c>
      <c r="G12" s="5959"/>
      <c r="H12" s="5954">
        <f t="shared" si="5"/>
        <v>0</v>
      </c>
      <c r="I12" s="5959"/>
      <c r="J12" s="5954"/>
      <c r="K12" s="5954">
        <f t="shared" si="5"/>
        <v>0</v>
      </c>
      <c r="L12" s="5954"/>
      <c r="M12" s="5954"/>
      <c r="N12" s="5954"/>
      <c r="O12" s="5954"/>
      <c r="P12" s="5957">
        <f>SUM(P13:P43)</f>
        <v>2857433.3296019998</v>
      </c>
      <c r="Q12" s="5957">
        <f>SUM(Q13:Q43)</f>
        <v>1080741.6000000001</v>
      </c>
      <c r="R12" s="5957">
        <f t="shared" ref="R12:V12" si="6">SUM(R13:R43)</f>
        <v>29624</v>
      </c>
      <c r="S12" s="5957">
        <f t="shared" si="6"/>
        <v>0</v>
      </c>
      <c r="T12" s="5957">
        <f t="shared" si="6"/>
        <v>0</v>
      </c>
      <c r="U12" s="5957">
        <f>SUM(U13:U43)</f>
        <v>624975.74300000002</v>
      </c>
      <c r="V12" s="5957">
        <f t="shared" si="6"/>
        <v>55631</v>
      </c>
      <c r="W12" s="5957">
        <f>SUM(W13:W43)</f>
        <v>22029</v>
      </c>
      <c r="X12" s="5957">
        <f t="shared" ref="X12:AN12" si="7">SUM(X13:X43)</f>
        <v>23615</v>
      </c>
      <c r="Y12" s="5957">
        <f t="shared" si="7"/>
        <v>79089</v>
      </c>
      <c r="Z12" s="5957">
        <f t="shared" si="7"/>
        <v>237940</v>
      </c>
      <c r="AA12" s="5957">
        <f t="shared" si="7"/>
        <v>635714.98660199996</v>
      </c>
      <c r="AB12" s="5957">
        <f>SUM(AB13:AB43)</f>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8">D14+P14+AD14+AE14+AH14+AL14+AF14+AG14+AK14+AN14</f>
        <v>16569</v>
      </c>
      <c r="D14" s="5120">
        <f t="shared" ref="D14:D43" si="9">SUM(E14:O14)</f>
        <v>0</v>
      </c>
      <c r="E14" s="5120"/>
      <c r="F14" s="5120"/>
      <c r="G14" s="5960"/>
      <c r="H14" s="5120"/>
      <c r="I14" s="5960"/>
      <c r="J14" s="5120"/>
      <c r="K14" s="5120"/>
      <c r="L14" s="5120"/>
      <c r="M14" s="5120"/>
      <c r="N14" s="5120"/>
      <c r="O14" s="5120"/>
      <c r="P14" s="5961">
        <f t="shared" ref="P14:P42" si="10">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1">SUM(AI14:AJ14)</f>
        <v>0</v>
      </c>
      <c r="AI14" s="4775">
        <f>+'Phụ lục số 5'!AI14</f>
        <v>0</v>
      </c>
      <c r="AJ14" s="4775">
        <f>+'Phụ lục số 5'!AJ14</f>
        <v>0</v>
      </c>
      <c r="AK14" s="5962"/>
      <c r="AL14" s="328"/>
      <c r="AM14" s="328"/>
      <c r="AN14" s="1656"/>
    </row>
    <row r="15" spans="1:41" s="596" customFormat="1">
      <c r="A15" s="603">
        <v>3</v>
      </c>
      <c r="B15" s="604" t="s">
        <v>656</v>
      </c>
      <c r="C15" s="5120">
        <f t="shared" si="8"/>
        <v>33575</v>
      </c>
      <c r="D15" s="5120">
        <f t="shared" si="9"/>
        <v>0</v>
      </c>
      <c r="E15" s="5120"/>
      <c r="F15" s="5120"/>
      <c r="G15" s="5960"/>
      <c r="H15" s="5120"/>
      <c r="I15" s="5960"/>
      <c r="J15" s="5120"/>
      <c r="K15" s="5120"/>
      <c r="L15" s="5120"/>
      <c r="M15" s="5120"/>
      <c r="N15" s="5120"/>
      <c r="O15" s="5120"/>
      <c r="P15" s="5961">
        <f t="shared" si="10"/>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1"/>
        <v>0</v>
      </c>
      <c r="AI15" s="4775">
        <f>+'Phụ lục số 5'!AI15</f>
        <v>0</v>
      </c>
      <c r="AJ15" s="4775">
        <f>+'Phụ lục số 5'!AJ15</f>
        <v>0</v>
      </c>
      <c r="AK15" s="5962"/>
      <c r="AL15" s="328"/>
      <c r="AM15" s="328"/>
      <c r="AN15" s="1656"/>
    </row>
    <row r="16" spans="1:41" s="596" customFormat="1">
      <c r="A16" s="603">
        <v>4</v>
      </c>
      <c r="B16" s="604" t="s">
        <v>657</v>
      </c>
      <c r="C16" s="5120">
        <f t="shared" si="8"/>
        <v>144887</v>
      </c>
      <c r="D16" s="5120">
        <f t="shared" si="9"/>
        <v>0</v>
      </c>
      <c r="E16" s="5120"/>
      <c r="F16" s="5120"/>
      <c r="G16" s="5960"/>
      <c r="H16" s="5120"/>
      <c r="I16" s="5960"/>
      <c r="J16" s="5120"/>
      <c r="K16" s="5120"/>
      <c r="L16" s="5120"/>
      <c r="M16" s="5120"/>
      <c r="N16" s="5120"/>
      <c r="O16" s="5120"/>
      <c r="P16" s="5961">
        <f t="shared" si="10"/>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1"/>
        <v>39225</v>
      </c>
      <c r="AI16" s="4775">
        <f>+'Phụ lục số 5'!AI16</f>
        <v>0</v>
      </c>
      <c r="AJ16" s="4775">
        <f>+'Phụ lục số 5'!AJ16</f>
        <v>39225</v>
      </c>
      <c r="AK16" s="5962"/>
      <c r="AL16" s="328"/>
      <c r="AM16" s="328"/>
      <c r="AN16" s="1656"/>
      <c r="AO16" s="597"/>
    </row>
    <row r="17" spans="1:40" s="596" customFormat="1">
      <c r="A17" s="603">
        <v>5</v>
      </c>
      <c r="B17" s="604" t="s">
        <v>658</v>
      </c>
      <c r="C17" s="5120">
        <f t="shared" si="8"/>
        <v>16569</v>
      </c>
      <c r="D17" s="5120">
        <f t="shared" si="9"/>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1"/>
        <v>610</v>
      </c>
      <c r="AI17" s="4775">
        <f>+'Phụ lục số 5'!AI17</f>
        <v>0</v>
      </c>
      <c r="AJ17" s="4775">
        <f>+'Phụ lục số 5'!AJ17</f>
        <v>610</v>
      </c>
      <c r="AK17" s="5962"/>
      <c r="AL17" s="328"/>
      <c r="AM17" s="328"/>
      <c r="AN17" s="1656"/>
    </row>
    <row r="18" spans="1:40" s="596" customFormat="1">
      <c r="A18" s="603">
        <v>6</v>
      </c>
      <c r="B18" s="604" t="s">
        <v>659</v>
      </c>
      <c r="C18" s="5120">
        <f t="shared" si="8"/>
        <v>22686</v>
      </c>
      <c r="D18" s="5120">
        <f t="shared" si="9"/>
        <v>0</v>
      </c>
      <c r="E18" s="5120"/>
      <c r="F18" s="5120"/>
      <c r="G18" s="5960"/>
      <c r="H18" s="5120"/>
      <c r="I18" s="5960"/>
      <c r="J18" s="5120"/>
      <c r="K18" s="5120"/>
      <c r="L18" s="5120"/>
      <c r="M18" s="5120"/>
      <c r="N18" s="5120"/>
      <c r="O18" s="5120"/>
      <c r="P18" s="5961">
        <f t="shared" si="10"/>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1"/>
        <v>0</v>
      </c>
      <c r="AI18" s="4775">
        <f>+'Phụ lục số 5'!AI18</f>
        <v>0</v>
      </c>
      <c r="AJ18" s="4775">
        <f>+'Phụ lục số 5'!AJ18</f>
        <v>0</v>
      </c>
      <c r="AK18" s="5962"/>
      <c r="AL18" s="328"/>
      <c r="AM18" s="328"/>
      <c r="AN18" s="1656"/>
    </row>
    <row r="19" spans="1:40" s="596" customFormat="1">
      <c r="A19" s="603">
        <v>7</v>
      </c>
      <c r="B19" s="604" t="s">
        <v>660</v>
      </c>
      <c r="C19" s="5120">
        <f t="shared" si="8"/>
        <v>56355</v>
      </c>
      <c r="D19" s="5120">
        <f t="shared" si="9"/>
        <v>0</v>
      </c>
      <c r="E19" s="5120"/>
      <c r="F19" s="5120"/>
      <c r="G19" s="5960"/>
      <c r="H19" s="5120"/>
      <c r="I19" s="5960"/>
      <c r="J19" s="5120"/>
      <c r="K19" s="5120"/>
      <c r="L19" s="5120"/>
      <c r="M19" s="5120"/>
      <c r="N19" s="5120"/>
      <c r="O19" s="5120"/>
      <c r="P19" s="5961">
        <f t="shared" si="10"/>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1"/>
        <v>0</v>
      </c>
      <c r="AI19" s="4775">
        <f>+'Phụ lục số 5'!AI19</f>
        <v>0</v>
      </c>
      <c r="AJ19" s="4775">
        <f>+'Phụ lục số 5'!AJ19</f>
        <v>0</v>
      </c>
      <c r="AK19" s="5962"/>
      <c r="AL19" s="328"/>
      <c r="AM19" s="328"/>
      <c r="AN19" s="1656"/>
    </row>
    <row r="20" spans="1:40" s="596" customFormat="1">
      <c r="A20" s="603">
        <v>8</v>
      </c>
      <c r="B20" s="604" t="s">
        <v>661</v>
      </c>
      <c r="C20" s="5120">
        <f t="shared" si="8"/>
        <v>10971</v>
      </c>
      <c r="D20" s="5120">
        <f t="shared" si="9"/>
        <v>0</v>
      </c>
      <c r="E20" s="5120"/>
      <c r="F20" s="5120"/>
      <c r="G20" s="5960"/>
      <c r="H20" s="5120"/>
      <c r="I20" s="5960"/>
      <c r="J20" s="5120"/>
      <c r="K20" s="5120"/>
      <c r="L20" s="5120"/>
      <c r="M20" s="5120"/>
      <c r="N20" s="5120"/>
      <c r="O20" s="5120"/>
      <c r="P20" s="5961">
        <f t="shared" si="10"/>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1"/>
        <v>0</v>
      </c>
      <c r="AI20" s="4775">
        <f>+'Phụ lục số 5'!AI20</f>
        <v>0</v>
      </c>
      <c r="AJ20" s="4775">
        <f>+'Phụ lục số 5'!AJ20</f>
        <v>0</v>
      </c>
      <c r="AK20" s="5962"/>
      <c r="AL20" s="328"/>
      <c r="AM20" s="328"/>
      <c r="AN20" s="1656"/>
    </row>
    <row r="21" spans="1:40" s="596" customFormat="1">
      <c r="A21" s="603">
        <v>9</v>
      </c>
      <c r="B21" s="604" t="s">
        <v>662</v>
      </c>
      <c r="C21" s="5120">
        <f t="shared" si="8"/>
        <v>19880</v>
      </c>
      <c r="D21" s="5120">
        <f t="shared" si="9"/>
        <v>0</v>
      </c>
      <c r="E21" s="5120"/>
      <c r="F21" s="5120"/>
      <c r="G21" s="5960"/>
      <c r="H21" s="5120"/>
      <c r="I21" s="5960"/>
      <c r="J21" s="5120"/>
      <c r="K21" s="5120"/>
      <c r="L21" s="5120"/>
      <c r="M21" s="5120"/>
      <c r="N21" s="5120"/>
      <c r="O21" s="5120"/>
      <c r="P21" s="5961">
        <f t="shared" si="10"/>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1"/>
        <v>0</v>
      </c>
      <c r="AI21" s="4775">
        <f>+'Phụ lục số 5'!AI21</f>
        <v>0</v>
      </c>
      <c r="AJ21" s="4775">
        <f>+'Phụ lục số 5'!AJ21</f>
        <v>0</v>
      </c>
      <c r="AK21" s="5962"/>
      <c r="AL21" s="328"/>
      <c r="AM21" s="328"/>
      <c r="AN21" s="1656"/>
    </row>
    <row r="22" spans="1:40" s="596" customFormat="1">
      <c r="A22" s="603">
        <v>10</v>
      </c>
      <c r="B22" s="604" t="s">
        <v>663</v>
      </c>
      <c r="C22" s="5120">
        <f t="shared" si="8"/>
        <v>637637</v>
      </c>
      <c r="D22" s="5120">
        <f t="shared" si="9"/>
        <v>0</v>
      </c>
      <c r="E22" s="5120"/>
      <c r="F22" s="5120"/>
      <c r="G22" s="5960"/>
      <c r="H22" s="5120"/>
      <c r="I22" s="5960"/>
      <c r="J22" s="5120"/>
      <c r="K22" s="5120"/>
      <c r="L22" s="5120"/>
      <c r="M22" s="5120"/>
      <c r="N22" s="5120"/>
      <c r="O22" s="5120"/>
      <c r="P22" s="5961">
        <f t="shared" si="10"/>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1"/>
        <v>0</v>
      </c>
      <c r="AI22" s="4775">
        <f>+'Phụ lục số 5'!AI22</f>
        <v>0</v>
      </c>
      <c r="AJ22" s="4775">
        <f>+'Phụ lục số 5'!AJ22</f>
        <v>0</v>
      </c>
      <c r="AK22" s="5962"/>
      <c r="AL22" s="328"/>
      <c r="AM22" s="328"/>
      <c r="AN22" s="1656"/>
    </row>
    <row r="23" spans="1:40" s="596" customFormat="1">
      <c r="A23" s="603">
        <v>11</v>
      </c>
      <c r="B23" s="604" t="s">
        <v>664</v>
      </c>
      <c r="C23" s="5120">
        <f t="shared" si="8"/>
        <v>22627</v>
      </c>
      <c r="D23" s="5120">
        <f t="shared" si="9"/>
        <v>0</v>
      </c>
      <c r="E23" s="5120"/>
      <c r="F23" s="5120"/>
      <c r="G23" s="5960"/>
      <c r="H23" s="5120"/>
      <c r="I23" s="5960"/>
      <c r="J23" s="5120"/>
      <c r="K23" s="5120"/>
      <c r="L23" s="5120"/>
      <c r="M23" s="5120"/>
      <c r="N23" s="5120"/>
      <c r="O23" s="5120"/>
      <c r="P23" s="5961">
        <f t="shared" si="10"/>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1"/>
        <v>450</v>
      </c>
      <c r="AI23" s="4775">
        <f>+'Phụ lục số 5'!AI23</f>
        <v>0</v>
      </c>
      <c r="AJ23" s="4775">
        <f>+'Phụ lục số 5'!AJ23</f>
        <v>450</v>
      </c>
      <c r="AK23" s="5962"/>
      <c r="AL23" s="328"/>
      <c r="AM23" s="328"/>
      <c r="AN23" s="1656"/>
    </row>
    <row r="24" spans="1:40" s="596" customFormat="1">
      <c r="A24" s="603">
        <v>12</v>
      </c>
      <c r="B24" s="604" t="s">
        <v>665</v>
      </c>
      <c r="C24" s="5120">
        <f t="shared" si="8"/>
        <v>18435</v>
      </c>
      <c r="D24" s="5120">
        <f t="shared" si="9"/>
        <v>0</v>
      </c>
      <c r="E24" s="5120"/>
      <c r="F24" s="5120"/>
      <c r="G24" s="5960"/>
      <c r="H24" s="5120"/>
      <c r="I24" s="5960"/>
      <c r="J24" s="5120"/>
      <c r="K24" s="5120"/>
      <c r="L24" s="5120"/>
      <c r="M24" s="5120"/>
      <c r="N24" s="5120"/>
      <c r="O24" s="5120"/>
      <c r="P24" s="5961">
        <f t="shared" si="10"/>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1"/>
        <v>0</v>
      </c>
      <c r="AI24" s="4775">
        <f>+'Phụ lục số 5'!AI24</f>
        <v>0</v>
      </c>
      <c r="AJ24" s="4775">
        <f>+'Phụ lục số 5'!AJ24</f>
        <v>0</v>
      </c>
      <c r="AK24" s="5962"/>
      <c r="AL24" s="328"/>
      <c r="AM24" s="328"/>
      <c r="AN24" s="1656"/>
    </row>
    <row r="25" spans="1:40" s="596" customFormat="1">
      <c r="A25" s="603">
        <v>13</v>
      </c>
      <c r="B25" s="604" t="s">
        <v>666</v>
      </c>
      <c r="C25" s="5120">
        <f t="shared" si="8"/>
        <v>37082</v>
      </c>
      <c r="D25" s="5120">
        <f t="shared" si="9"/>
        <v>0</v>
      </c>
      <c r="E25" s="5120"/>
      <c r="F25" s="5120"/>
      <c r="G25" s="5960"/>
      <c r="H25" s="5120"/>
      <c r="I25" s="5960"/>
      <c r="J25" s="5120"/>
      <c r="K25" s="5120"/>
      <c r="L25" s="5120"/>
      <c r="M25" s="5120"/>
      <c r="N25" s="5120"/>
      <c r="O25" s="5120"/>
      <c r="P25" s="5961">
        <f t="shared" si="10"/>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1"/>
        <v>500</v>
      </c>
      <c r="AI25" s="4775">
        <f>+'Phụ lục số 5'!AI25</f>
        <v>0</v>
      </c>
      <c r="AJ25" s="4775">
        <f>+'Phụ lục số 5'!AJ25</f>
        <v>500</v>
      </c>
      <c r="AK25" s="5962"/>
      <c r="AL25" s="328"/>
      <c r="AM25" s="328"/>
      <c r="AN25" s="1656"/>
    </row>
    <row r="26" spans="1:40" s="596" customFormat="1">
      <c r="A26" s="603">
        <v>14</v>
      </c>
      <c r="B26" s="604" t="s">
        <v>667</v>
      </c>
      <c r="C26" s="5120">
        <f t="shared" si="8"/>
        <v>834331</v>
      </c>
      <c r="D26" s="5120">
        <f t="shared" si="9"/>
        <v>0</v>
      </c>
      <c r="E26" s="5120"/>
      <c r="F26" s="5120"/>
      <c r="G26" s="5960"/>
      <c r="H26" s="5120"/>
      <c r="I26" s="5960"/>
      <c r="J26" s="5120"/>
      <c r="K26" s="5120"/>
      <c r="L26" s="5120"/>
      <c r="M26" s="5120"/>
      <c r="N26" s="5120"/>
      <c r="O26" s="5120"/>
      <c r="P26" s="5961">
        <f t="shared" si="10"/>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1"/>
        <v>0</v>
      </c>
      <c r="AI26" s="4775">
        <f>+'Phụ lục số 5'!AI26</f>
        <v>0</v>
      </c>
      <c r="AJ26" s="4775">
        <f>+'Phụ lục số 5'!AJ26</f>
        <v>0</v>
      </c>
      <c r="AK26" s="5962"/>
      <c r="AL26" s="328"/>
      <c r="AM26" s="328"/>
      <c r="AN26" s="1656"/>
    </row>
    <row r="27" spans="1:40" s="596" customFormat="1">
      <c r="A27" s="603">
        <v>15</v>
      </c>
      <c r="B27" s="604" t="s">
        <v>668</v>
      </c>
      <c r="C27" s="5120">
        <f t="shared" si="8"/>
        <v>50582</v>
      </c>
      <c r="D27" s="5120">
        <f t="shared" si="9"/>
        <v>0</v>
      </c>
      <c r="E27" s="5120"/>
      <c r="F27" s="5120"/>
      <c r="G27" s="5960"/>
      <c r="H27" s="5120"/>
      <c r="I27" s="5960"/>
      <c r="J27" s="5120"/>
      <c r="K27" s="5120"/>
      <c r="L27" s="5120"/>
      <c r="M27" s="5120"/>
      <c r="N27" s="5120"/>
      <c r="O27" s="5120"/>
      <c r="P27" s="4775">
        <f t="shared" si="10"/>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1"/>
        <v>0</v>
      </c>
      <c r="AI27" s="4775">
        <f>+'Phụ lục số 5'!AI27</f>
        <v>0</v>
      </c>
      <c r="AJ27" s="4775">
        <f>+'Phụ lục số 5'!AJ27</f>
        <v>0</v>
      </c>
      <c r="AK27" s="5962"/>
      <c r="AL27" s="328"/>
      <c r="AM27" s="328"/>
      <c r="AN27" s="1656"/>
    </row>
    <row r="28" spans="1:40" s="596" customFormat="1">
      <c r="A28" s="603">
        <v>16</v>
      </c>
      <c r="B28" s="604" t="s">
        <v>669</v>
      </c>
      <c r="C28" s="5120">
        <f t="shared" si="8"/>
        <v>159789</v>
      </c>
      <c r="D28" s="5120">
        <f t="shared" si="9"/>
        <v>0</v>
      </c>
      <c r="E28" s="5120"/>
      <c r="F28" s="5120"/>
      <c r="G28" s="5960"/>
      <c r="H28" s="5120"/>
      <c r="I28" s="5960"/>
      <c r="J28" s="5120"/>
      <c r="K28" s="5120"/>
      <c r="L28" s="5120"/>
      <c r="M28" s="5120"/>
      <c r="N28" s="5120"/>
      <c r="O28" s="5120"/>
      <c r="P28" s="4775">
        <f t="shared" si="10"/>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1"/>
        <v>0</v>
      </c>
      <c r="AI28" s="4775">
        <f>+'Phụ lục số 5'!AI28</f>
        <v>0</v>
      </c>
      <c r="AJ28" s="4775">
        <f>+'Phụ lục số 5'!AJ28</f>
        <v>0</v>
      </c>
      <c r="AK28" s="5962"/>
      <c r="AL28" s="328"/>
      <c r="AM28" s="328"/>
      <c r="AN28" s="1656"/>
    </row>
    <row r="29" spans="1:40" s="596" customFormat="1">
      <c r="A29" s="603">
        <v>17</v>
      </c>
      <c r="B29" s="604" t="s">
        <v>670</v>
      </c>
      <c r="C29" s="5120">
        <f t="shared" si="8"/>
        <v>58811</v>
      </c>
      <c r="D29" s="5120">
        <f t="shared" si="9"/>
        <v>0</v>
      </c>
      <c r="E29" s="5120"/>
      <c r="F29" s="5120"/>
      <c r="G29" s="5960"/>
      <c r="H29" s="5120"/>
      <c r="I29" s="5960"/>
      <c r="J29" s="5120"/>
      <c r="K29" s="5120"/>
      <c r="L29" s="5120"/>
      <c r="M29" s="5120"/>
      <c r="N29" s="5120"/>
      <c r="O29" s="5120"/>
      <c r="P29" s="4775">
        <f t="shared" si="10"/>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1"/>
        <v>500</v>
      </c>
      <c r="AI29" s="4775">
        <f>+'Phụ lục số 5'!AI29</f>
        <v>0</v>
      </c>
      <c r="AJ29" s="4775">
        <f>+'Phụ lục số 5'!AJ29</f>
        <v>500</v>
      </c>
      <c r="AK29" s="5962"/>
      <c r="AL29" s="328"/>
      <c r="AM29" s="328"/>
      <c r="AN29" s="1656"/>
    </row>
    <row r="30" spans="1:40" s="596" customFormat="1">
      <c r="A30" s="603">
        <v>18</v>
      </c>
      <c r="B30" s="604" t="s">
        <v>671</v>
      </c>
      <c r="C30" s="5120">
        <f t="shared" si="8"/>
        <v>122626</v>
      </c>
      <c r="D30" s="5120">
        <f t="shared" si="9"/>
        <v>0</v>
      </c>
      <c r="E30" s="5120"/>
      <c r="F30" s="5120"/>
      <c r="G30" s="5960"/>
      <c r="H30" s="5120"/>
      <c r="I30" s="5960"/>
      <c r="J30" s="5120"/>
      <c r="K30" s="5120"/>
      <c r="L30" s="5120"/>
      <c r="M30" s="5120"/>
      <c r="N30" s="5120"/>
      <c r="O30" s="5120"/>
      <c r="P30" s="4775">
        <f t="shared" si="10"/>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1"/>
        <v>60404</v>
      </c>
      <c r="AI30" s="4775">
        <f>+'Phụ lục số 5'!AI30</f>
        <v>0</v>
      </c>
      <c r="AJ30" s="4775">
        <f>+'Phụ lục số 5'!AJ30</f>
        <v>60404</v>
      </c>
      <c r="AK30" s="5962"/>
      <c r="AL30" s="328"/>
      <c r="AM30" s="328"/>
      <c r="AN30" s="1656"/>
    </row>
    <row r="31" spans="1:40" s="596" customFormat="1">
      <c r="A31" s="603">
        <v>19</v>
      </c>
      <c r="B31" s="604" t="s">
        <v>672</v>
      </c>
      <c r="C31" s="5120">
        <f t="shared" si="8"/>
        <v>169872</v>
      </c>
      <c r="D31" s="5120">
        <f t="shared" si="9"/>
        <v>0</v>
      </c>
      <c r="E31" s="5120"/>
      <c r="F31" s="5120"/>
      <c r="G31" s="5960"/>
      <c r="H31" s="5120"/>
      <c r="I31" s="5960"/>
      <c r="J31" s="5120"/>
      <c r="K31" s="5120"/>
      <c r="L31" s="5120"/>
      <c r="M31" s="5120"/>
      <c r="N31" s="5120"/>
      <c r="O31" s="5120"/>
      <c r="P31" s="4775">
        <f t="shared" si="10"/>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1"/>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8"/>
        <v>16270</v>
      </c>
      <c r="D32" s="5120">
        <f t="shared" si="9"/>
        <v>0</v>
      </c>
      <c r="E32" s="5120"/>
      <c r="F32" s="5120"/>
      <c r="G32" s="5960"/>
      <c r="H32" s="5120"/>
      <c r="I32" s="5960"/>
      <c r="J32" s="5120"/>
      <c r="K32" s="5120"/>
      <c r="L32" s="5120"/>
      <c r="M32" s="5120"/>
      <c r="N32" s="5120"/>
      <c r="O32" s="5120"/>
      <c r="P32" s="4775">
        <f t="shared" si="10"/>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1"/>
        <v>0</v>
      </c>
      <c r="AI32" s="4775">
        <f>+'Phụ lục số 5'!AI32</f>
        <v>0</v>
      </c>
      <c r="AJ32" s="4775">
        <f>+'Phụ lục số 5'!AJ32</f>
        <v>0</v>
      </c>
      <c r="AK32" s="5962"/>
      <c r="AL32" s="328"/>
      <c r="AM32" s="328"/>
      <c r="AN32" s="1656"/>
    </row>
    <row r="33" spans="1:41" s="596" customFormat="1">
      <c r="A33" s="603">
        <v>21</v>
      </c>
      <c r="B33" s="604" t="s">
        <v>674</v>
      </c>
      <c r="C33" s="5120">
        <f t="shared" si="8"/>
        <v>24710</v>
      </c>
      <c r="D33" s="5120">
        <f t="shared" si="9"/>
        <v>0</v>
      </c>
      <c r="E33" s="5120"/>
      <c r="F33" s="5120"/>
      <c r="G33" s="5960"/>
      <c r="H33" s="5120"/>
      <c r="I33" s="5960"/>
      <c r="J33" s="5120"/>
      <c r="K33" s="5120"/>
      <c r="L33" s="5120"/>
      <c r="M33" s="5120"/>
      <c r="N33" s="5120"/>
      <c r="O33" s="5120"/>
      <c r="P33" s="4775">
        <f t="shared" si="10"/>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1"/>
        <v>0</v>
      </c>
      <c r="AI33" s="4775">
        <f>+'Phụ lục số 5'!AI33</f>
        <v>0</v>
      </c>
      <c r="AJ33" s="4775">
        <f>+'Phụ lục số 5'!AJ33</f>
        <v>0</v>
      </c>
      <c r="AK33" s="5962"/>
      <c r="AL33" s="328"/>
      <c r="AM33" s="328"/>
      <c r="AN33" s="1656"/>
    </row>
    <row r="34" spans="1:41" s="596" customFormat="1">
      <c r="A34" s="603">
        <v>22</v>
      </c>
      <c r="B34" s="604" t="s">
        <v>675</v>
      </c>
      <c r="C34" s="5120">
        <f t="shared" si="8"/>
        <v>32129</v>
      </c>
      <c r="D34" s="5120">
        <f t="shared" si="9"/>
        <v>0</v>
      </c>
      <c r="E34" s="5120"/>
      <c r="F34" s="5120"/>
      <c r="G34" s="5960"/>
      <c r="H34" s="5120"/>
      <c r="I34" s="5960"/>
      <c r="J34" s="5120"/>
      <c r="K34" s="5120"/>
      <c r="L34" s="5120"/>
      <c r="M34" s="5120"/>
      <c r="N34" s="5120"/>
      <c r="O34" s="5120"/>
      <c r="P34" s="4775">
        <f t="shared" si="10"/>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1"/>
        <v>0</v>
      </c>
      <c r="AI34" s="4775">
        <f>+'Phụ lục số 5'!AI34</f>
        <v>0</v>
      </c>
      <c r="AJ34" s="4775">
        <f>+'Phụ lục số 5'!AJ34</f>
        <v>0</v>
      </c>
      <c r="AK34" s="5962"/>
      <c r="AL34" s="328"/>
      <c r="AM34" s="328"/>
      <c r="AN34" s="1656"/>
    </row>
    <row r="35" spans="1:41" s="596" customFormat="1">
      <c r="A35" s="603">
        <v>23</v>
      </c>
      <c r="B35" s="604" t="s">
        <v>676</v>
      </c>
      <c r="C35" s="5120">
        <f t="shared" si="8"/>
        <v>10534</v>
      </c>
      <c r="D35" s="5120">
        <f t="shared" si="9"/>
        <v>0</v>
      </c>
      <c r="E35" s="5120"/>
      <c r="F35" s="5120"/>
      <c r="G35" s="5960"/>
      <c r="H35" s="5120"/>
      <c r="I35" s="5960"/>
      <c r="J35" s="5120"/>
      <c r="K35" s="5120"/>
      <c r="L35" s="5120"/>
      <c r="M35" s="5120"/>
      <c r="N35" s="5120"/>
      <c r="O35" s="5120"/>
      <c r="P35" s="4775">
        <f t="shared" si="10"/>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1"/>
        <v>0</v>
      </c>
      <c r="AI35" s="4775">
        <f>+'Phụ lục số 5'!AI35</f>
        <v>0</v>
      </c>
      <c r="AJ35" s="4775">
        <f>+'Phụ lục số 5'!AJ35</f>
        <v>0</v>
      </c>
      <c r="AK35" s="5962"/>
      <c r="AL35" s="328"/>
      <c r="AM35" s="328"/>
      <c r="AN35" s="1656"/>
    </row>
    <row r="36" spans="1:41" s="596" customFormat="1">
      <c r="A36" s="603">
        <v>24</v>
      </c>
      <c r="B36" s="604" t="s">
        <v>677</v>
      </c>
      <c r="C36" s="5120">
        <f t="shared" si="8"/>
        <v>16765</v>
      </c>
      <c r="D36" s="5120">
        <f t="shared" si="9"/>
        <v>0</v>
      </c>
      <c r="E36" s="5120"/>
      <c r="F36" s="5120"/>
      <c r="G36" s="5960"/>
      <c r="H36" s="5120"/>
      <c r="I36" s="5960"/>
      <c r="J36" s="5120"/>
      <c r="K36" s="5120"/>
      <c r="L36" s="5120"/>
      <c r="M36" s="5120"/>
      <c r="N36" s="5120"/>
      <c r="O36" s="5120"/>
      <c r="P36" s="4775">
        <f t="shared" si="10"/>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1"/>
        <v>0</v>
      </c>
      <c r="AI36" s="4775">
        <f>+'Phụ lục số 5'!AI36</f>
        <v>0</v>
      </c>
      <c r="AJ36" s="4775">
        <f>+'Phụ lục số 5'!AJ36</f>
        <v>0</v>
      </c>
      <c r="AK36" s="5962"/>
      <c r="AL36" s="328"/>
      <c r="AM36" s="328"/>
      <c r="AN36" s="1656"/>
    </row>
    <row r="37" spans="1:41" s="596" customFormat="1">
      <c r="A37" s="603">
        <v>25</v>
      </c>
      <c r="B37" s="604" t="s">
        <v>678</v>
      </c>
      <c r="C37" s="5120">
        <f t="shared" si="8"/>
        <v>13825</v>
      </c>
      <c r="D37" s="5120">
        <f t="shared" si="9"/>
        <v>0</v>
      </c>
      <c r="E37" s="5120"/>
      <c r="F37" s="5120"/>
      <c r="G37" s="5960"/>
      <c r="H37" s="5120"/>
      <c r="I37" s="5960"/>
      <c r="J37" s="5120"/>
      <c r="K37" s="5120"/>
      <c r="L37" s="5120"/>
      <c r="M37" s="5120"/>
      <c r="N37" s="5120"/>
      <c r="O37" s="5120"/>
      <c r="P37" s="4775">
        <f t="shared" si="10"/>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1"/>
        <v>11047</v>
      </c>
      <c r="AI37" s="4775">
        <f>+'Phụ lục số 5'!AI37</f>
        <v>0</v>
      </c>
      <c r="AJ37" s="4775">
        <f>+'Phụ lục số 5'!AJ37</f>
        <v>11047</v>
      </c>
      <c r="AK37" s="5962"/>
      <c r="AL37" s="328"/>
      <c r="AM37" s="328"/>
      <c r="AN37" s="1656"/>
    </row>
    <row r="38" spans="1:41" s="596" customFormat="1" ht="36">
      <c r="A38" s="603">
        <v>26</v>
      </c>
      <c r="B38" s="604" t="s">
        <v>679</v>
      </c>
      <c r="C38" s="5120">
        <f t="shared" si="8"/>
        <v>38522</v>
      </c>
      <c r="D38" s="5120">
        <f t="shared" si="9"/>
        <v>0</v>
      </c>
      <c r="E38" s="5120"/>
      <c r="F38" s="5120"/>
      <c r="G38" s="5960"/>
      <c r="H38" s="5120"/>
      <c r="I38" s="5960"/>
      <c r="J38" s="5120"/>
      <c r="K38" s="5120"/>
      <c r="L38" s="5120"/>
      <c r="M38" s="5120"/>
      <c r="N38" s="5120"/>
      <c r="O38" s="5120"/>
      <c r="P38" s="4775">
        <f t="shared" si="10"/>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1"/>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8"/>
        <v>0</v>
      </c>
      <c r="D39" s="5120"/>
      <c r="E39" s="5120"/>
      <c r="F39" s="5120"/>
      <c r="G39" s="5960"/>
      <c r="H39" s="5120"/>
      <c r="I39" s="5960"/>
      <c r="J39" s="5120"/>
      <c r="K39" s="5120"/>
      <c r="L39" s="5120"/>
      <c r="M39" s="5120"/>
      <c r="N39" s="5120"/>
      <c r="O39" s="5120"/>
      <c r="P39" s="4775">
        <f t="shared" si="10"/>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8"/>
        <v>0</v>
      </c>
      <c r="D40" s="5120"/>
      <c r="E40" s="5120"/>
      <c r="F40" s="5120"/>
      <c r="G40" s="5960"/>
      <c r="H40" s="5120"/>
      <c r="I40" s="5960"/>
      <c r="J40" s="5120"/>
      <c r="K40" s="5120"/>
      <c r="L40" s="5120"/>
      <c r="M40" s="5120"/>
      <c r="N40" s="5120"/>
      <c r="O40" s="5120"/>
      <c r="P40" s="4775">
        <f t="shared" si="10"/>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8"/>
        <v>22478</v>
      </c>
      <c r="D41" s="5120">
        <f t="shared" si="9"/>
        <v>0</v>
      </c>
      <c r="E41" s="5120"/>
      <c r="F41" s="5120"/>
      <c r="G41" s="5960"/>
      <c r="H41" s="5120"/>
      <c r="I41" s="5960"/>
      <c r="J41" s="5120"/>
      <c r="K41" s="5120"/>
      <c r="L41" s="5120"/>
      <c r="M41" s="5120"/>
      <c r="N41" s="5120"/>
      <c r="O41" s="5120"/>
      <c r="P41" s="4775">
        <f t="shared" si="10"/>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1"/>
        <v>0</v>
      </c>
      <c r="AI41" s="4775">
        <f>+'Phụ lục số 5'!AI41</f>
        <v>0</v>
      </c>
      <c r="AJ41" s="4775">
        <f>+'Phụ lục số 5'!AJ41</f>
        <v>0</v>
      </c>
      <c r="AK41" s="5962"/>
      <c r="AL41" s="328"/>
      <c r="AM41" s="328"/>
      <c r="AN41" s="1656"/>
    </row>
    <row r="42" spans="1:41" s="596" customFormat="1">
      <c r="A42" s="603">
        <v>28</v>
      </c>
      <c r="B42" s="604" t="s">
        <v>681</v>
      </c>
      <c r="C42" s="5120">
        <f t="shared" si="8"/>
        <v>28621</v>
      </c>
      <c r="D42" s="5120">
        <f t="shared" si="9"/>
        <v>0</v>
      </c>
      <c r="E42" s="5120"/>
      <c r="F42" s="5120"/>
      <c r="G42" s="5960"/>
      <c r="H42" s="5120"/>
      <c r="I42" s="5960"/>
      <c r="J42" s="5120"/>
      <c r="K42" s="5120"/>
      <c r="L42" s="5120"/>
      <c r="M42" s="5120"/>
      <c r="N42" s="5120"/>
      <c r="O42" s="5120"/>
      <c r="P42" s="4775">
        <f t="shared" si="10"/>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1"/>
        <v>0</v>
      </c>
      <c r="AI42" s="4775">
        <f>+'Phụ lục số 5'!AI42</f>
        <v>0</v>
      </c>
      <c r="AJ42" s="4775">
        <f>+'Phụ lục số 5'!AJ42</f>
        <v>0</v>
      </c>
      <c r="AK42" s="5962"/>
      <c r="AL42" s="328"/>
      <c r="AM42" s="328"/>
      <c r="AN42" s="1656"/>
    </row>
    <row r="43" spans="1:41" s="596" customFormat="1" hidden="1">
      <c r="A43" s="603">
        <v>29</v>
      </c>
      <c r="B43" s="604"/>
      <c r="C43" s="5120">
        <f t="shared" si="8"/>
        <v>0</v>
      </c>
      <c r="D43" s="5120">
        <f t="shared" si="9"/>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1"/>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2">SUM(D45,D51)</f>
        <v>0</v>
      </c>
      <c r="E44" s="5966">
        <f t="shared" si="12"/>
        <v>0</v>
      </c>
      <c r="F44" s="5966">
        <f t="shared" si="12"/>
        <v>0</v>
      </c>
      <c r="G44" s="5967"/>
      <c r="H44" s="5966">
        <f t="shared" si="12"/>
        <v>0</v>
      </c>
      <c r="I44" s="5967"/>
      <c r="J44" s="5966"/>
      <c r="K44" s="5966">
        <f t="shared" si="12"/>
        <v>0</v>
      </c>
      <c r="L44" s="5966"/>
      <c r="M44" s="5966"/>
      <c r="N44" s="5966"/>
      <c r="O44" s="5966"/>
      <c r="P44" s="5966">
        <f>SUM(P45,P51)</f>
        <v>67277</v>
      </c>
      <c r="Q44" s="5966">
        <f t="shared" ref="Q44:AJ44" si="13">SUM(Q45,Q51)</f>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21"/>
      <c r="H45" s="1658">
        <f t="shared" si="14"/>
        <v>0</v>
      </c>
      <c r="I45" s="5121"/>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20">
        <f t="shared" ref="C46:C79" si="16">D46+P46+AD46+AE46+AH46+AL46+AF46+AG46+AK46+AN46</f>
        <v>10828</v>
      </c>
      <c r="D46" s="5120">
        <f t="shared" ref="D46:D56" si="17">SUM(E46:O46)</f>
        <v>0</v>
      </c>
      <c r="E46" s="5962"/>
      <c r="F46" s="5962"/>
      <c r="G46" s="5123"/>
      <c r="H46" s="5962"/>
      <c r="I46" s="5123"/>
      <c r="J46" s="5962"/>
      <c r="K46" s="5962"/>
      <c r="L46" s="5962"/>
      <c r="M46" s="5962"/>
      <c r="N46" s="5962"/>
      <c r="O46" s="5962"/>
      <c r="P46" s="4775">
        <f t="shared" ref="P46:P56" si="18">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6"/>
        <v>9018</v>
      </c>
      <c r="D47" s="5120">
        <f t="shared" si="17"/>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19">SUM(AI47:AJ47)</f>
        <v>0</v>
      </c>
      <c r="AI47" s="5962">
        <f>+'Phụ lục số 5'!AI53</f>
        <v>0</v>
      </c>
      <c r="AJ47" s="5962">
        <f>+'Phụ lục số 5'!AJ53</f>
        <v>0</v>
      </c>
      <c r="AK47" s="5962"/>
      <c r="AL47" s="328"/>
      <c r="AM47" s="328"/>
      <c r="AN47" s="1656"/>
    </row>
    <row r="48" spans="1:41" s="596" customFormat="1">
      <c r="A48" s="603">
        <f>A47+1</f>
        <v>31</v>
      </c>
      <c r="B48" s="604" t="s">
        <v>687</v>
      </c>
      <c r="C48" s="5120">
        <f t="shared" si="16"/>
        <v>8117</v>
      </c>
      <c r="D48" s="5120">
        <f t="shared" si="17"/>
        <v>0</v>
      </c>
      <c r="E48" s="5962"/>
      <c r="F48" s="5962"/>
      <c r="G48" s="5123"/>
      <c r="H48" s="5962"/>
      <c r="I48" s="5123"/>
      <c r="J48" s="5962"/>
      <c r="K48" s="5962"/>
      <c r="L48" s="5962"/>
      <c r="M48" s="5962"/>
      <c r="N48" s="5962"/>
      <c r="O48" s="5962"/>
      <c r="P48" s="4775">
        <f t="shared" si="18"/>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19"/>
        <v>0</v>
      </c>
      <c r="AI48" s="5962">
        <f>+'Phụ lục số 5'!AI54</f>
        <v>0</v>
      </c>
      <c r="AJ48" s="5962">
        <f>+'Phụ lục số 5'!AJ54</f>
        <v>0</v>
      </c>
      <c r="AK48" s="5962"/>
      <c r="AL48" s="328"/>
      <c r="AM48" s="328"/>
      <c r="AN48" s="1656"/>
    </row>
    <row r="49" spans="1:43" s="596" customFormat="1">
      <c r="A49" s="603">
        <f>A48+1</f>
        <v>32</v>
      </c>
      <c r="B49" s="604" t="s">
        <v>688</v>
      </c>
      <c r="C49" s="5120">
        <f t="shared" si="16"/>
        <v>6426</v>
      </c>
      <c r="D49" s="5120">
        <f t="shared" si="17"/>
        <v>0</v>
      </c>
      <c r="E49" s="5962"/>
      <c r="F49" s="5962"/>
      <c r="G49" s="5123"/>
      <c r="H49" s="5962"/>
      <c r="I49" s="5123"/>
      <c r="J49" s="5962"/>
      <c r="K49" s="5962"/>
      <c r="L49" s="5962"/>
      <c r="M49" s="5962"/>
      <c r="N49" s="5962"/>
      <c r="O49" s="5962"/>
      <c r="P49" s="4775">
        <f t="shared" si="18"/>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19"/>
        <v>0</v>
      </c>
      <c r="AI49" s="5962">
        <f>+'Phụ lục số 5'!AI55</f>
        <v>0</v>
      </c>
      <c r="AJ49" s="5962">
        <f>+'Phụ lục số 5'!AJ49</f>
        <v>0</v>
      </c>
      <c r="AK49" s="5962"/>
      <c r="AL49" s="328"/>
      <c r="AM49" s="328"/>
      <c r="AN49" s="1656"/>
    </row>
    <row r="50" spans="1:43" s="596" customFormat="1">
      <c r="A50" s="603">
        <f>A49+1</f>
        <v>33</v>
      </c>
      <c r="B50" s="604" t="s">
        <v>689</v>
      </c>
      <c r="C50" s="5120">
        <f t="shared" si="16"/>
        <v>3796</v>
      </c>
      <c r="D50" s="5120">
        <f t="shared" si="17"/>
        <v>0</v>
      </c>
      <c r="E50" s="5962"/>
      <c r="F50" s="5962"/>
      <c r="G50" s="5123"/>
      <c r="H50" s="5962"/>
      <c r="I50" s="5123"/>
      <c r="J50" s="5962"/>
      <c r="K50" s="5962"/>
      <c r="L50" s="5962"/>
      <c r="M50" s="5962"/>
      <c r="N50" s="5962"/>
      <c r="O50" s="5962"/>
      <c r="P50" s="4775">
        <f t="shared" si="18"/>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19"/>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0">SUM(D52:D58)</f>
        <v>0</v>
      </c>
      <c r="E51" s="1658">
        <f t="shared" si="20"/>
        <v>0</v>
      </c>
      <c r="F51" s="1658">
        <f t="shared" si="20"/>
        <v>0</v>
      </c>
      <c r="G51" s="5121"/>
      <c r="H51" s="1658">
        <f t="shared" si="20"/>
        <v>0</v>
      </c>
      <c r="I51" s="5121"/>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20">
        <f t="shared" si="16"/>
        <v>5327</v>
      </c>
      <c r="D52" s="5120">
        <f t="shared" si="17"/>
        <v>0</v>
      </c>
      <c r="E52" s="328"/>
      <c r="F52" s="328"/>
      <c r="G52" s="5122"/>
      <c r="H52" s="328"/>
      <c r="I52" s="5122"/>
      <c r="J52" s="328"/>
      <c r="K52" s="328"/>
      <c r="L52" s="328"/>
      <c r="M52" s="328"/>
      <c r="N52" s="328"/>
      <c r="O52" s="328"/>
      <c r="P52" s="4775">
        <f t="shared" si="18"/>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6"/>
        <v>4627</v>
      </c>
      <c r="D53" s="5120">
        <f t="shared" si="17"/>
        <v>0</v>
      </c>
      <c r="E53" s="328"/>
      <c r="F53" s="328"/>
      <c r="G53" s="5122"/>
      <c r="H53" s="328"/>
      <c r="I53" s="5122"/>
      <c r="J53" s="328"/>
      <c r="K53" s="328"/>
      <c r="L53" s="328"/>
      <c r="M53" s="328"/>
      <c r="N53" s="328"/>
      <c r="O53" s="328"/>
      <c r="P53" s="4775">
        <f t="shared" si="18"/>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2">SUM(AI53:AJ53)</f>
        <v>0</v>
      </c>
      <c r="AI53" s="5962">
        <f>+'Phụ lục số 5'!AI53</f>
        <v>0</v>
      </c>
      <c r="AJ53" s="5962">
        <f>+'Phụ lục số 5'!AJ53</f>
        <v>0</v>
      </c>
      <c r="AK53" s="328"/>
      <c r="AL53" s="328"/>
      <c r="AM53" s="328"/>
      <c r="AN53" s="1656"/>
    </row>
    <row r="54" spans="1:43" s="596" customFormat="1">
      <c r="A54" s="603">
        <v>37</v>
      </c>
      <c r="B54" s="604" t="s">
        <v>694</v>
      </c>
      <c r="C54" s="5120">
        <f t="shared" si="16"/>
        <v>3820</v>
      </c>
      <c r="D54" s="5120">
        <f t="shared" si="17"/>
        <v>0</v>
      </c>
      <c r="E54" s="328"/>
      <c r="F54" s="328"/>
      <c r="G54" s="5122"/>
      <c r="H54" s="328"/>
      <c r="I54" s="5122"/>
      <c r="J54" s="328"/>
      <c r="K54" s="328"/>
      <c r="L54" s="328"/>
      <c r="M54" s="328"/>
      <c r="N54" s="328"/>
      <c r="O54" s="328"/>
      <c r="P54" s="4775">
        <f t="shared" si="18"/>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2"/>
        <v>0</v>
      </c>
      <c r="AI54" s="5962">
        <f>+'Phụ lục số 5'!AI54</f>
        <v>0</v>
      </c>
      <c r="AJ54" s="5962">
        <f>+'Phụ lục số 5'!AJ54</f>
        <v>0</v>
      </c>
      <c r="AK54" s="328"/>
      <c r="AL54" s="328"/>
      <c r="AM54" s="328"/>
      <c r="AN54" s="1656"/>
    </row>
    <row r="55" spans="1:43" s="596" customFormat="1">
      <c r="A55" s="603">
        <v>38</v>
      </c>
      <c r="B55" s="604" t="s">
        <v>695</v>
      </c>
      <c r="C55" s="5120">
        <f t="shared" si="16"/>
        <v>8003</v>
      </c>
      <c r="D55" s="5120">
        <f t="shared" si="17"/>
        <v>0</v>
      </c>
      <c r="E55" s="328"/>
      <c r="F55" s="328"/>
      <c r="G55" s="5122"/>
      <c r="H55" s="328"/>
      <c r="I55" s="5122"/>
      <c r="J55" s="328"/>
      <c r="K55" s="328"/>
      <c r="L55" s="328"/>
      <c r="M55" s="328"/>
      <c r="N55" s="328"/>
      <c r="O55" s="328"/>
      <c r="P55" s="4775">
        <f t="shared" si="18"/>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2"/>
        <v>500</v>
      </c>
      <c r="AI55" s="5962">
        <f>+'Phụ lục số 5'!AI55</f>
        <v>0</v>
      </c>
      <c r="AJ55" s="5962">
        <f>+'Phụ lục số 5'!AJ55</f>
        <v>500</v>
      </c>
      <c r="AK55" s="328"/>
      <c r="AL55" s="328"/>
      <c r="AM55" s="328"/>
      <c r="AN55" s="1656"/>
    </row>
    <row r="56" spans="1:43" s="596" customFormat="1">
      <c r="A56" s="603">
        <v>39</v>
      </c>
      <c r="B56" s="604" t="s">
        <v>696</v>
      </c>
      <c r="C56" s="5120">
        <f t="shared" si="16"/>
        <v>7815</v>
      </c>
      <c r="D56" s="5120">
        <f t="shared" si="17"/>
        <v>0</v>
      </c>
      <c r="E56" s="328"/>
      <c r="F56" s="328"/>
      <c r="G56" s="5122"/>
      <c r="H56" s="328"/>
      <c r="I56" s="5122"/>
      <c r="J56" s="328"/>
      <c r="K56" s="328"/>
      <c r="L56" s="328"/>
      <c r="M56" s="328"/>
      <c r="N56" s="328"/>
      <c r="O56" s="328"/>
      <c r="P56" s="4775">
        <f t="shared" si="18"/>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2"/>
        <v>0</v>
      </c>
      <c r="AI56" s="5962">
        <f>+'Phụ lục số 5'!AI56</f>
        <v>0</v>
      </c>
      <c r="AJ56" s="5962">
        <f>+'Phụ lục số 5'!AJ56</f>
        <v>0</v>
      </c>
      <c r="AK56" s="328"/>
      <c r="AL56" s="328"/>
      <c r="AM56" s="328"/>
      <c r="AN56" s="1656"/>
    </row>
    <row r="57" spans="1:43" s="596" customFormat="1">
      <c r="A57" s="603">
        <v>40</v>
      </c>
      <c r="B57" s="604" t="s">
        <v>697</v>
      </c>
      <c r="C57" s="5120">
        <f t="shared" si="16"/>
        <v>0</v>
      </c>
      <c r="D57" s="328">
        <f t="shared" ref="D57:D112" si="23">SUM(E57:K57)</f>
        <v>0</v>
      </c>
      <c r="E57" s="328"/>
      <c r="F57" s="328"/>
      <c r="G57" s="5122"/>
      <c r="H57" s="328"/>
      <c r="I57" s="5122"/>
      <c r="J57" s="328"/>
      <c r="K57" s="328"/>
      <c r="L57" s="328"/>
      <c r="M57" s="328"/>
      <c r="N57" s="328"/>
      <c r="O57" s="328"/>
      <c r="P57" s="5962">
        <f t="shared" ref="P57:P58" si="24">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2"/>
        <v>0</v>
      </c>
      <c r="AI57" s="5962">
        <f>+'Phụ lục số 5'!AI57</f>
        <v>0</v>
      </c>
      <c r="AJ57" s="5962">
        <f>+'Phụ lục số 5'!AJ57</f>
        <v>0</v>
      </c>
      <c r="AK57" s="328"/>
      <c r="AL57" s="328"/>
      <c r="AM57" s="328"/>
      <c r="AN57" s="1656"/>
    </row>
    <row r="58" spans="1:43" s="596" customFormat="1">
      <c r="A58" s="603">
        <v>41</v>
      </c>
      <c r="B58" s="604" t="s">
        <v>698</v>
      </c>
      <c r="C58" s="5120">
        <f t="shared" si="16"/>
        <v>0</v>
      </c>
      <c r="D58" s="328">
        <f t="shared" si="23"/>
        <v>0</v>
      </c>
      <c r="E58" s="328"/>
      <c r="F58" s="328"/>
      <c r="G58" s="5122"/>
      <c r="H58" s="328"/>
      <c r="I58" s="5122"/>
      <c r="J58" s="328"/>
      <c r="K58" s="328"/>
      <c r="L58" s="328"/>
      <c r="M58" s="328"/>
      <c r="N58" s="328"/>
      <c r="O58" s="328"/>
      <c r="P58" s="5962">
        <f t="shared" si="24"/>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2"/>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5">SUM(D60:D62)</f>
        <v>0</v>
      </c>
      <c r="E59" s="5966">
        <f t="shared" si="25"/>
        <v>0</v>
      </c>
      <c r="F59" s="5966">
        <f t="shared" si="25"/>
        <v>0</v>
      </c>
      <c r="G59" s="5967"/>
      <c r="H59" s="5966">
        <f t="shared" si="25"/>
        <v>0</v>
      </c>
      <c r="I59" s="5967"/>
      <c r="J59" s="5966"/>
      <c r="K59" s="5966">
        <f t="shared" si="25"/>
        <v>0</v>
      </c>
      <c r="L59" s="5966"/>
      <c r="M59" s="5966"/>
      <c r="N59" s="5966"/>
      <c r="O59" s="5966"/>
      <c r="P59" s="5966">
        <f>SUM(P60:P62)</f>
        <v>160670</v>
      </c>
      <c r="Q59" s="5966">
        <f t="shared" ref="Q59:AJ59" si="26">SUM(Q60:Q62)</f>
        <v>6070</v>
      </c>
      <c r="R59" s="5966">
        <f t="shared" si="26"/>
        <v>0</v>
      </c>
      <c r="S59" s="5966">
        <f t="shared" si="26"/>
        <v>150000</v>
      </c>
      <c r="T59" s="5966">
        <f t="shared" si="26"/>
        <v>0</v>
      </c>
      <c r="U59" s="5966">
        <f t="shared" si="26"/>
        <v>4300</v>
      </c>
      <c r="V59" s="5966">
        <f t="shared" si="26"/>
        <v>0</v>
      </c>
      <c r="W59" s="5966">
        <f t="shared" si="26"/>
        <v>0</v>
      </c>
      <c r="X59" s="5966">
        <f t="shared" si="26"/>
        <v>0</v>
      </c>
      <c r="Y59" s="5966">
        <f t="shared" si="26"/>
        <v>300</v>
      </c>
      <c r="Z59" s="5966">
        <f t="shared" si="26"/>
        <v>0</v>
      </c>
      <c r="AA59" s="5966">
        <f t="shared" si="26"/>
        <v>0</v>
      </c>
      <c r="AB59" s="5966">
        <f t="shared" si="26"/>
        <v>0</v>
      </c>
      <c r="AC59" s="5966">
        <f t="shared" si="26"/>
        <v>0</v>
      </c>
      <c r="AD59" s="5966">
        <f t="shared" si="26"/>
        <v>0</v>
      </c>
      <c r="AE59" s="5966">
        <f t="shared" si="26"/>
        <v>0</v>
      </c>
      <c r="AF59" s="5966">
        <f t="shared" si="26"/>
        <v>0</v>
      </c>
      <c r="AG59" s="5966">
        <f t="shared" si="26"/>
        <v>0</v>
      </c>
      <c r="AH59" s="5966">
        <f t="shared" si="26"/>
        <v>0</v>
      </c>
      <c r="AI59" s="5966">
        <f t="shared" si="26"/>
        <v>0</v>
      </c>
      <c r="AJ59" s="5966">
        <f t="shared" si="26"/>
        <v>0</v>
      </c>
      <c r="AK59" s="5966"/>
      <c r="AL59" s="329"/>
      <c r="AM59" s="329"/>
      <c r="AN59" s="1657"/>
    </row>
    <row r="60" spans="1:43" s="596" customFormat="1">
      <c r="A60" s="603">
        <v>42</v>
      </c>
      <c r="B60" s="604" t="s">
        <v>700</v>
      </c>
      <c r="C60" s="5120">
        <f t="shared" si="16"/>
        <v>51300</v>
      </c>
      <c r="D60" s="5120">
        <f t="shared" ref="D60:D77" si="27">SUM(E60:O60)</f>
        <v>0</v>
      </c>
      <c r="E60" s="328"/>
      <c r="F60" s="328"/>
      <c r="G60" s="5122"/>
      <c r="H60" s="328"/>
      <c r="I60" s="5122"/>
      <c r="J60" s="328"/>
      <c r="K60" s="328"/>
      <c r="L60" s="328"/>
      <c r="M60" s="328"/>
      <c r="N60" s="328"/>
      <c r="O60" s="328"/>
      <c r="P60" s="4775">
        <f t="shared" ref="P60:P79" si="28">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6"/>
        <v>92870</v>
      </c>
      <c r="D61" s="5120">
        <f t="shared" si="27"/>
        <v>0</v>
      </c>
      <c r="E61" s="328"/>
      <c r="F61" s="328"/>
      <c r="G61" s="5122"/>
      <c r="H61" s="328"/>
      <c r="I61" s="5122"/>
      <c r="J61" s="328"/>
      <c r="K61" s="328"/>
      <c r="L61" s="328"/>
      <c r="M61" s="328"/>
      <c r="N61" s="328"/>
      <c r="O61" s="328"/>
      <c r="P61" s="4775">
        <f t="shared" si="28"/>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29">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6"/>
        <v>16500</v>
      </c>
      <c r="D62" s="5120">
        <f t="shared" si="27"/>
        <v>0</v>
      </c>
      <c r="E62" s="328"/>
      <c r="F62" s="328"/>
      <c r="G62" s="5122"/>
      <c r="H62" s="328"/>
      <c r="I62" s="5122"/>
      <c r="J62" s="328"/>
      <c r="K62" s="328"/>
      <c r="L62" s="328"/>
      <c r="M62" s="328"/>
      <c r="N62" s="328"/>
      <c r="O62" s="328"/>
      <c r="P62" s="4775">
        <f t="shared" si="28"/>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29"/>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0">SUM(D64:D77)</f>
        <v>0</v>
      </c>
      <c r="E63" s="5966">
        <f t="shared" si="30"/>
        <v>0</v>
      </c>
      <c r="F63" s="5966">
        <f t="shared" si="30"/>
        <v>0</v>
      </c>
      <c r="G63" s="5967"/>
      <c r="H63" s="5966">
        <f t="shared" si="30"/>
        <v>0</v>
      </c>
      <c r="I63" s="5967"/>
      <c r="J63" s="5966"/>
      <c r="K63" s="5966">
        <f t="shared" si="30"/>
        <v>0</v>
      </c>
      <c r="L63" s="5966"/>
      <c r="M63" s="5966"/>
      <c r="N63" s="5966"/>
      <c r="O63" s="5966">
        <f t="shared" si="30"/>
        <v>0</v>
      </c>
      <c r="P63" s="5966">
        <f>SUM(P64:P79)</f>
        <v>383595.2</v>
      </c>
      <c r="Q63" s="5966">
        <f t="shared" ref="Q63:AM63" si="31">SUM(Q64:Q79)</f>
        <v>0</v>
      </c>
      <c r="R63" s="5966">
        <f t="shared" si="31"/>
        <v>0</v>
      </c>
      <c r="S63" s="5966">
        <f t="shared" si="31"/>
        <v>0</v>
      </c>
      <c r="T63" s="5966">
        <f t="shared" si="31"/>
        <v>0</v>
      </c>
      <c r="U63" s="5966">
        <f t="shared" si="31"/>
        <v>367885</v>
      </c>
      <c r="V63" s="5966">
        <f t="shared" si="31"/>
        <v>0</v>
      </c>
      <c r="W63" s="5966">
        <f t="shared" si="31"/>
        <v>9765</v>
      </c>
      <c r="X63" s="5966">
        <f t="shared" si="31"/>
        <v>0</v>
      </c>
      <c r="Y63" s="5966">
        <f t="shared" si="31"/>
        <v>0</v>
      </c>
      <c r="Z63" s="5966">
        <f t="shared" si="31"/>
        <v>0</v>
      </c>
      <c r="AA63" s="5966">
        <f t="shared" si="31"/>
        <v>0</v>
      </c>
      <c r="AB63" s="5966">
        <f t="shared" si="31"/>
        <v>0</v>
      </c>
      <c r="AC63" s="5966">
        <f t="shared" si="31"/>
        <v>5945.2</v>
      </c>
      <c r="AD63" s="5966">
        <f t="shared" si="31"/>
        <v>0</v>
      </c>
      <c r="AE63" s="5966">
        <f t="shared" si="31"/>
        <v>0</v>
      </c>
      <c r="AF63" s="5966">
        <f t="shared" si="31"/>
        <v>0</v>
      </c>
      <c r="AG63" s="5966">
        <f t="shared" si="31"/>
        <v>0</v>
      </c>
      <c r="AH63" s="5966">
        <f t="shared" si="31"/>
        <v>114476</v>
      </c>
      <c r="AI63" s="5966">
        <f t="shared" si="31"/>
        <v>0</v>
      </c>
      <c r="AJ63" s="5966">
        <f t="shared" si="31"/>
        <v>114476</v>
      </c>
      <c r="AK63" s="5966">
        <f t="shared" si="31"/>
        <v>0</v>
      </c>
      <c r="AL63" s="5966">
        <f t="shared" si="31"/>
        <v>0</v>
      </c>
      <c r="AM63" s="5966">
        <f t="shared" si="31"/>
        <v>0</v>
      </c>
      <c r="AN63" s="1657"/>
    </row>
    <row r="64" spans="1:43" s="596" customFormat="1">
      <c r="A64" s="603">
        <v>45</v>
      </c>
      <c r="B64" s="604" t="s">
        <v>704</v>
      </c>
      <c r="C64" s="5120">
        <f t="shared" si="16"/>
        <v>482201</v>
      </c>
      <c r="D64" s="5120">
        <f t="shared" si="27"/>
        <v>0</v>
      </c>
      <c r="E64" s="328"/>
      <c r="F64" s="328"/>
      <c r="G64" s="5122"/>
      <c r="H64" s="328"/>
      <c r="I64" s="5122"/>
      <c r="J64" s="328"/>
      <c r="K64" s="328"/>
      <c r="L64" s="328"/>
      <c r="M64" s="328"/>
      <c r="N64" s="328"/>
      <c r="O64" s="328"/>
      <c r="P64" s="4775">
        <f t="shared" si="28"/>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6"/>
        <v>0</v>
      </c>
      <c r="D65" s="5120">
        <f t="shared" si="27"/>
        <v>0</v>
      </c>
      <c r="E65" s="328"/>
      <c r="F65" s="328"/>
      <c r="G65" s="5122"/>
      <c r="H65" s="328"/>
      <c r="I65" s="5122"/>
      <c r="J65" s="328"/>
      <c r="K65" s="328"/>
      <c r="L65" s="328"/>
      <c r="M65" s="328"/>
      <c r="N65" s="328"/>
      <c r="O65" s="328"/>
      <c r="P65" s="4775">
        <f t="shared" si="28"/>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6"/>
        <v>1625</v>
      </c>
      <c r="D66" s="5120">
        <f t="shared" si="27"/>
        <v>0</v>
      </c>
      <c r="E66" s="328"/>
      <c r="F66" s="328"/>
      <c r="G66" s="5122"/>
      <c r="H66" s="328"/>
      <c r="I66" s="5122"/>
      <c r="J66" s="328"/>
      <c r="K66" s="328"/>
      <c r="L66" s="328"/>
      <c r="M66" s="328"/>
      <c r="N66" s="328"/>
      <c r="O66" s="328"/>
      <c r="P66" s="4775">
        <f t="shared" si="28"/>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2">SUM(AI66:AJ66)</f>
        <v>160</v>
      </c>
      <c r="AI66" s="5962">
        <f>'Phụ lục số 5'!AI66</f>
        <v>0</v>
      </c>
      <c r="AJ66" s="5962">
        <f>'Phụ lục số 5'!AJ66</f>
        <v>160</v>
      </c>
      <c r="AK66" s="328"/>
      <c r="AL66" s="328"/>
      <c r="AM66" s="328"/>
      <c r="AN66" s="1656"/>
    </row>
    <row r="67" spans="1:40" s="596" customFormat="1">
      <c r="A67" s="603">
        <v>48</v>
      </c>
      <c r="B67" s="610" t="s">
        <v>707</v>
      </c>
      <c r="C67" s="5120">
        <f t="shared" si="16"/>
        <v>610</v>
      </c>
      <c r="D67" s="5120">
        <f t="shared" si="27"/>
        <v>0</v>
      </c>
      <c r="E67" s="328"/>
      <c r="F67" s="328"/>
      <c r="G67" s="5122"/>
      <c r="H67" s="328"/>
      <c r="I67" s="5122"/>
      <c r="J67" s="328"/>
      <c r="K67" s="328"/>
      <c r="L67" s="328"/>
      <c r="M67" s="328"/>
      <c r="N67" s="328"/>
      <c r="O67" s="328"/>
      <c r="P67" s="4775">
        <f t="shared" si="28"/>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2"/>
        <v>0</v>
      </c>
      <c r="AI67" s="5962">
        <f>'Phụ lục số 5'!AI67</f>
        <v>0</v>
      </c>
      <c r="AJ67" s="5962">
        <f>'Phụ lục số 5'!AJ67</f>
        <v>0</v>
      </c>
      <c r="AK67" s="328"/>
      <c r="AL67" s="328"/>
      <c r="AM67" s="328"/>
      <c r="AN67" s="1656"/>
    </row>
    <row r="68" spans="1:40" s="596" customFormat="1" ht="36">
      <c r="A68" s="603">
        <v>49</v>
      </c>
      <c r="B68" s="610" t="s">
        <v>708</v>
      </c>
      <c r="C68" s="5120">
        <f t="shared" si="16"/>
        <v>530</v>
      </c>
      <c r="D68" s="5120">
        <f t="shared" si="27"/>
        <v>0</v>
      </c>
      <c r="E68" s="328"/>
      <c r="F68" s="328"/>
      <c r="G68" s="5122"/>
      <c r="H68" s="328"/>
      <c r="I68" s="5122"/>
      <c r="J68" s="328"/>
      <c r="K68" s="328"/>
      <c r="L68" s="328"/>
      <c r="M68" s="328"/>
      <c r="N68" s="328"/>
      <c r="O68" s="328"/>
      <c r="P68" s="4775">
        <f t="shared" si="28"/>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2"/>
        <v>0</v>
      </c>
      <c r="AI68" s="5962">
        <f>'Phụ lục số 5'!AI68</f>
        <v>0</v>
      </c>
      <c r="AJ68" s="5962">
        <f>'Phụ lục số 5'!AJ68</f>
        <v>0</v>
      </c>
      <c r="AK68" s="328"/>
      <c r="AL68" s="328"/>
      <c r="AM68" s="328"/>
      <c r="AN68" s="1656"/>
    </row>
    <row r="69" spans="1:40" s="596" customFormat="1">
      <c r="A69" s="603">
        <v>50</v>
      </c>
      <c r="B69" s="610" t="s">
        <v>709</v>
      </c>
      <c r="C69" s="5120">
        <f t="shared" si="16"/>
        <v>550</v>
      </c>
      <c r="D69" s="5120">
        <f t="shared" si="27"/>
        <v>0</v>
      </c>
      <c r="E69" s="328"/>
      <c r="F69" s="328"/>
      <c r="G69" s="5122"/>
      <c r="H69" s="328"/>
      <c r="I69" s="5122"/>
      <c r="J69" s="328"/>
      <c r="K69" s="328"/>
      <c r="L69" s="328"/>
      <c r="M69" s="328"/>
      <c r="N69" s="328"/>
      <c r="O69" s="328"/>
      <c r="P69" s="4775">
        <f t="shared" si="28"/>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2"/>
        <v>0</v>
      </c>
      <c r="AI69" s="5962">
        <f>'Phụ lục số 5'!AI69</f>
        <v>0</v>
      </c>
      <c r="AJ69" s="5962">
        <f>'Phụ lục số 5'!AJ69</f>
        <v>0</v>
      </c>
      <c r="AK69" s="328"/>
      <c r="AL69" s="328"/>
      <c r="AM69" s="328"/>
      <c r="AN69" s="1656"/>
    </row>
    <row r="70" spans="1:40" s="596" customFormat="1">
      <c r="A70" s="603">
        <v>51</v>
      </c>
      <c r="B70" s="610" t="s">
        <v>710</v>
      </c>
      <c r="C70" s="5120">
        <f t="shared" si="16"/>
        <v>435</v>
      </c>
      <c r="D70" s="5120">
        <f t="shared" si="27"/>
        <v>0</v>
      </c>
      <c r="E70" s="328"/>
      <c r="F70" s="328"/>
      <c r="G70" s="5122"/>
      <c r="H70" s="328"/>
      <c r="I70" s="5122"/>
      <c r="J70" s="328"/>
      <c r="K70" s="328"/>
      <c r="L70" s="328"/>
      <c r="M70" s="328"/>
      <c r="N70" s="328"/>
      <c r="O70" s="328"/>
      <c r="P70" s="4775">
        <f t="shared" si="28"/>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2"/>
        <v>0</v>
      </c>
      <c r="AI70" s="5962">
        <f>'Phụ lục số 5'!AI70</f>
        <v>0</v>
      </c>
      <c r="AJ70" s="5962">
        <f>'Phụ lục số 5'!AJ70</f>
        <v>0</v>
      </c>
      <c r="AK70" s="328"/>
      <c r="AL70" s="328"/>
      <c r="AM70" s="328"/>
      <c r="AN70" s="1656"/>
    </row>
    <row r="71" spans="1:40" s="596" customFormat="1">
      <c r="A71" s="603">
        <v>52</v>
      </c>
      <c r="B71" s="610" t="s">
        <v>711</v>
      </c>
      <c r="C71" s="5120">
        <f t="shared" si="16"/>
        <v>676</v>
      </c>
      <c r="D71" s="5120">
        <f t="shared" si="27"/>
        <v>0</v>
      </c>
      <c r="E71" s="328"/>
      <c r="F71" s="328"/>
      <c r="G71" s="5122"/>
      <c r="H71" s="328"/>
      <c r="I71" s="5122"/>
      <c r="J71" s="328"/>
      <c r="K71" s="328"/>
      <c r="L71" s="328"/>
      <c r="M71" s="328"/>
      <c r="N71" s="328"/>
      <c r="O71" s="328"/>
      <c r="P71" s="4775">
        <f t="shared" si="28"/>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2"/>
        <v>0</v>
      </c>
      <c r="AI71" s="5962">
        <f>'Phụ lục số 5'!AI71</f>
        <v>0</v>
      </c>
      <c r="AJ71" s="5962">
        <f>'Phụ lục số 5'!AJ71</f>
        <v>0</v>
      </c>
      <c r="AK71" s="328"/>
      <c r="AL71" s="328"/>
      <c r="AM71" s="328"/>
      <c r="AN71" s="1656"/>
    </row>
    <row r="72" spans="1:40" s="596" customFormat="1">
      <c r="A72" s="603">
        <v>53</v>
      </c>
      <c r="B72" s="610" t="s">
        <v>712</v>
      </c>
      <c r="C72" s="5120">
        <f t="shared" si="16"/>
        <v>729.2</v>
      </c>
      <c r="D72" s="5120">
        <f t="shared" si="27"/>
        <v>0</v>
      </c>
      <c r="E72" s="328"/>
      <c r="F72" s="328"/>
      <c r="G72" s="5122"/>
      <c r="H72" s="328"/>
      <c r="I72" s="5122"/>
      <c r="J72" s="328"/>
      <c r="K72" s="328"/>
      <c r="L72" s="328"/>
      <c r="M72" s="328"/>
      <c r="N72" s="328"/>
      <c r="O72" s="328"/>
      <c r="P72" s="4775">
        <f t="shared" si="28"/>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2"/>
        <v>0</v>
      </c>
      <c r="AI72" s="5962">
        <f>'Phụ lục số 5'!AI72</f>
        <v>0</v>
      </c>
      <c r="AJ72" s="5962">
        <f>'Phụ lục số 5'!AJ72</f>
        <v>0</v>
      </c>
      <c r="AK72" s="328"/>
      <c r="AL72" s="328"/>
      <c r="AM72" s="328"/>
      <c r="AN72" s="1656"/>
    </row>
    <row r="73" spans="1:40" s="596" customFormat="1">
      <c r="A73" s="603">
        <v>54</v>
      </c>
      <c r="B73" s="610" t="s">
        <v>713</v>
      </c>
      <c r="C73" s="5120">
        <f t="shared" si="16"/>
        <v>150</v>
      </c>
      <c r="D73" s="5120">
        <f t="shared" si="27"/>
        <v>0</v>
      </c>
      <c r="E73" s="328"/>
      <c r="F73" s="328"/>
      <c r="G73" s="5122"/>
      <c r="H73" s="328"/>
      <c r="I73" s="5122"/>
      <c r="J73" s="328"/>
      <c r="K73" s="328"/>
      <c r="L73" s="328"/>
      <c r="M73" s="328"/>
      <c r="N73" s="328"/>
      <c r="O73" s="328"/>
      <c r="P73" s="4775">
        <f t="shared" si="28"/>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2"/>
        <v>0</v>
      </c>
      <c r="AI73" s="5962">
        <f>'Phụ lục số 5'!AI73</f>
        <v>0</v>
      </c>
      <c r="AJ73" s="5962">
        <f>'Phụ lục số 5'!AJ73</f>
        <v>0</v>
      </c>
      <c r="AK73" s="328"/>
      <c r="AL73" s="328"/>
      <c r="AM73" s="328"/>
      <c r="AN73" s="1656"/>
    </row>
    <row r="74" spans="1:40" s="596" customFormat="1">
      <c r="A74" s="603">
        <v>55</v>
      </c>
      <c r="B74" s="610" t="s">
        <v>714</v>
      </c>
      <c r="C74" s="5120">
        <f t="shared" si="16"/>
        <v>300</v>
      </c>
      <c r="D74" s="5120">
        <f t="shared" si="27"/>
        <v>0</v>
      </c>
      <c r="E74" s="328"/>
      <c r="F74" s="328"/>
      <c r="G74" s="5122"/>
      <c r="H74" s="328"/>
      <c r="I74" s="5122"/>
      <c r="J74" s="328"/>
      <c r="K74" s="328"/>
      <c r="L74" s="328"/>
      <c r="M74" s="328"/>
      <c r="N74" s="328"/>
      <c r="O74" s="328"/>
      <c r="P74" s="4775">
        <f t="shared" si="28"/>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2"/>
        <v>0</v>
      </c>
      <c r="AI74" s="5962">
        <f>'Phụ lục số 5'!AI74</f>
        <v>0</v>
      </c>
      <c r="AJ74" s="5962">
        <f>'Phụ lục số 5'!AJ74</f>
        <v>0</v>
      </c>
      <c r="AK74" s="328"/>
      <c r="AL74" s="328"/>
      <c r="AM74" s="328"/>
      <c r="AN74" s="1656"/>
    </row>
    <row r="75" spans="1:40" s="596" customFormat="1">
      <c r="A75" s="603">
        <v>56</v>
      </c>
      <c r="B75" s="610" t="s">
        <v>715</v>
      </c>
      <c r="C75" s="5120">
        <f t="shared" si="16"/>
        <v>0</v>
      </c>
      <c r="D75" s="5120">
        <f t="shared" si="27"/>
        <v>0</v>
      </c>
      <c r="E75" s="328"/>
      <c r="F75" s="328"/>
      <c r="G75" s="5122"/>
      <c r="H75" s="328"/>
      <c r="I75" s="5122"/>
      <c r="J75" s="328"/>
      <c r="K75" s="328"/>
      <c r="L75" s="328"/>
      <c r="M75" s="328"/>
      <c r="N75" s="328"/>
      <c r="O75" s="328"/>
      <c r="P75" s="4775">
        <f t="shared" si="28"/>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2"/>
        <v>0</v>
      </c>
      <c r="AI75" s="5962">
        <f>'Phụ lục số 5'!AI75</f>
        <v>0</v>
      </c>
      <c r="AJ75" s="5962">
        <f>'Phụ lục số 5'!AJ75</f>
        <v>0</v>
      </c>
      <c r="AK75" s="328"/>
      <c r="AL75" s="328"/>
      <c r="AM75" s="328"/>
      <c r="AN75" s="1656"/>
    </row>
    <row r="76" spans="1:40" s="596" customFormat="1">
      <c r="A76" s="603">
        <v>57</v>
      </c>
      <c r="B76" s="610" t="s">
        <v>716</v>
      </c>
      <c r="C76" s="5120">
        <f t="shared" si="16"/>
        <v>300</v>
      </c>
      <c r="D76" s="5120">
        <f t="shared" si="27"/>
        <v>0</v>
      </c>
      <c r="E76" s="328"/>
      <c r="F76" s="328"/>
      <c r="G76" s="5122"/>
      <c r="H76" s="328"/>
      <c r="I76" s="5122"/>
      <c r="J76" s="328"/>
      <c r="K76" s="328"/>
      <c r="L76" s="328"/>
      <c r="M76" s="328"/>
      <c r="N76" s="328"/>
      <c r="O76" s="328"/>
      <c r="P76" s="4775">
        <f t="shared" si="28"/>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2"/>
        <v>0</v>
      </c>
      <c r="AI76" s="5962">
        <f>'Phụ lục số 5'!AI76</f>
        <v>0</v>
      </c>
      <c r="AJ76" s="5962">
        <f>'Phụ lục số 5'!AJ76</f>
        <v>0</v>
      </c>
      <c r="AK76" s="328"/>
      <c r="AL76" s="328"/>
      <c r="AM76" s="328"/>
      <c r="AN76" s="1656"/>
    </row>
    <row r="77" spans="1:40" s="596" customFormat="1">
      <c r="A77" s="603">
        <v>58</v>
      </c>
      <c r="B77" s="610" t="s">
        <v>717</v>
      </c>
      <c r="C77" s="5120">
        <f t="shared" si="16"/>
        <v>200</v>
      </c>
      <c r="D77" s="5120">
        <f t="shared" si="27"/>
        <v>0</v>
      </c>
      <c r="E77" s="328"/>
      <c r="F77" s="328"/>
      <c r="G77" s="5122"/>
      <c r="H77" s="328"/>
      <c r="I77" s="5122"/>
      <c r="J77" s="328"/>
      <c r="K77" s="328"/>
      <c r="L77" s="328"/>
      <c r="M77" s="328"/>
      <c r="N77" s="328"/>
      <c r="O77" s="328"/>
      <c r="P77" s="4775">
        <f t="shared" si="28"/>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2"/>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6"/>
        <v>0</v>
      </c>
      <c r="D78" s="5120"/>
      <c r="E78" s="328"/>
      <c r="F78" s="328"/>
      <c r="G78" s="5122"/>
      <c r="H78" s="328"/>
      <c r="I78" s="5122"/>
      <c r="J78" s="328"/>
      <c r="K78" s="328"/>
      <c r="L78" s="328"/>
      <c r="M78" s="328"/>
      <c r="N78" s="328"/>
      <c r="O78" s="328"/>
      <c r="P78" s="4775">
        <f t="shared" si="28"/>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6"/>
        <v>9765</v>
      </c>
      <c r="D79" s="5120"/>
      <c r="E79" s="328"/>
      <c r="F79" s="328"/>
      <c r="G79" s="5122"/>
      <c r="H79" s="328"/>
      <c r="I79" s="5122"/>
      <c r="J79" s="328"/>
      <c r="K79" s="328"/>
      <c r="L79" s="328"/>
      <c r="M79" s="328"/>
      <c r="N79" s="328"/>
      <c r="O79" s="328"/>
      <c r="P79" s="4775">
        <f t="shared" si="28"/>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3">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3"/>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4">D82+P82+AD82+AE82+AH82+AL82+AF82+AG82+AK82+AN82</f>
        <v>12636.937382673808</v>
      </c>
      <c r="D82" s="5120">
        <f t="shared" ref="D82:D84" si="35">SUM(E82:O82)</f>
        <v>0</v>
      </c>
      <c r="E82" s="328"/>
      <c r="F82" s="328"/>
      <c r="G82" s="5122"/>
      <c r="H82" s="328"/>
      <c r="I82" s="5122"/>
      <c r="J82" s="328"/>
      <c r="K82" s="328"/>
      <c r="L82" s="328"/>
      <c r="M82" s="328"/>
      <c r="N82" s="328"/>
      <c r="O82" s="328"/>
      <c r="P82" s="5962">
        <f t="shared" si="33"/>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6">SUM(AI82:AJ82)</f>
        <v>0</v>
      </c>
      <c r="AI82" s="328"/>
      <c r="AJ82" s="328">
        <f>+'Phụ lục số 5'!AJ82</f>
        <v>0</v>
      </c>
      <c r="AK82" s="328"/>
      <c r="AL82" s="328"/>
      <c r="AM82" s="328"/>
      <c r="AN82" s="1656"/>
    </row>
    <row r="83" spans="1:40" s="380" customFormat="1" ht="34.799999999999997">
      <c r="A83" s="2977">
        <v>2</v>
      </c>
      <c r="B83" s="5974" t="s">
        <v>1697</v>
      </c>
      <c r="C83" s="5128">
        <f t="shared" ref="C83:C124" si="37">D83+P83+AD83+AE83+AH83+AL83+AF83+AG83+AK83</f>
        <v>0</v>
      </c>
      <c r="D83" s="5128">
        <f t="shared" si="35"/>
        <v>0</v>
      </c>
      <c r="E83" s="329"/>
      <c r="F83" s="329"/>
      <c r="G83" s="5125"/>
      <c r="H83" s="329"/>
      <c r="I83" s="5125"/>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4"/>
        <v>0</v>
      </c>
      <c r="D84" s="5120">
        <f t="shared" si="35"/>
        <v>0</v>
      </c>
      <c r="E84" s="5122"/>
      <c r="F84" s="5122"/>
      <c r="G84" s="5122"/>
      <c r="H84" s="5122"/>
      <c r="I84" s="5122"/>
      <c r="J84" s="5122"/>
      <c r="K84" s="5122"/>
      <c r="L84" s="5122"/>
      <c r="M84" s="5122"/>
      <c r="N84" s="5122"/>
      <c r="O84" s="5122"/>
      <c r="P84" s="5123">
        <f t="shared" si="33"/>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37"/>
        <v>0</v>
      </c>
      <c r="D85" s="329">
        <f>SUM(E85:K85)</f>
        <v>0</v>
      </c>
      <c r="E85" s="329"/>
      <c r="F85" s="329"/>
      <c r="G85" s="5125"/>
      <c r="H85" s="329"/>
      <c r="I85" s="5125"/>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4"/>
        <v>0</v>
      </c>
      <c r="D86" s="5122">
        <f t="shared" ref="D86" si="38">SUM(E86:K86)</f>
        <v>0</v>
      </c>
      <c r="E86" s="5122"/>
      <c r="F86" s="5122"/>
      <c r="G86" s="5122"/>
      <c r="H86" s="5122"/>
      <c r="I86" s="5122"/>
      <c r="J86" s="5122"/>
      <c r="K86" s="5122"/>
      <c r="L86" s="5122"/>
      <c r="M86" s="5122"/>
      <c r="N86" s="5122"/>
      <c r="O86" s="5122"/>
      <c r="P86" s="5123">
        <f t="shared" si="33"/>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37"/>
        <v>0</v>
      </c>
      <c r="D87" s="5125"/>
      <c r="E87" s="5125"/>
      <c r="F87" s="5125"/>
      <c r="G87" s="5125"/>
      <c r="H87" s="5125"/>
      <c r="I87" s="5125"/>
      <c r="J87" s="5125"/>
      <c r="K87" s="5125"/>
      <c r="L87" s="5125"/>
      <c r="M87" s="5125"/>
      <c r="N87" s="5125"/>
      <c r="O87" s="5125"/>
      <c r="P87" s="5121">
        <f t="shared" si="33"/>
        <v>0</v>
      </c>
      <c r="Q87" s="5121"/>
      <c r="R87" s="5121">
        <f t="shared" ref="R87" si="39">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4"/>
        <v>0</v>
      </c>
      <c r="D88" s="5122"/>
      <c r="E88" s="5122"/>
      <c r="F88" s="5122"/>
      <c r="G88" s="5122"/>
      <c r="H88" s="5122"/>
      <c r="I88" s="5122"/>
      <c r="J88" s="5122"/>
      <c r="K88" s="5122"/>
      <c r="L88" s="5122"/>
      <c r="M88" s="5122"/>
      <c r="N88" s="5122"/>
      <c r="O88" s="5122"/>
      <c r="P88" s="5123">
        <f t="shared" si="33"/>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3"/>
        <v>0.25699999998323619</v>
      </c>
      <c r="Q89" s="5121"/>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4"/>
        <v>0.25699999998323619</v>
      </c>
      <c r="D90" s="5122"/>
      <c r="E90" s="5122"/>
      <c r="F90" s="5122"/>
      <c r="G90" s="5122"/>
      <c r="H90" s="5122"/>
      <c r="I90" s="5122"/>
      <c r="J90" s="5122"/>
      <c r="K90" s="5122"/>
      <c r="L90" s="5122"/>
      <c r="M90" s="5122"/>
      <c r="N90" s="5122"/>
      <c r="O90" s="5122"/>
      <c r="P90" s="5123">
        <f t="shared" si="33"/>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6"/>
        <v>0</v>
      </c>
      <c r="AI90" s="5122"/>
      <c r="AJ90" s="5122"/>
      <c r="AK90" s="5122"/>
      <c r="AL90" s="5122"/>
      <c r="AM90" s="5122"/>
      <c r="AN90" s="2626"/>
    </row>
    <row r="91" spans="1:40" s="5127" customFormat="1">
      <c r="A91" s="620">
        <v>5</v>
      </c>
      <c r="B91" s="5119" t="s">
        <v>1789</v>
      </c>
      <c r="C91" s="5124">
        <f t="shared" si="37"/>
        <v>0</v>
      </c>
      <c r="D91" s="5125"/>
      <c r="E91" s="5125"/>
      <c r="F91" s="5125"/>
      <c r="G91" s="5125"/>
      <c r="H91" s="5125"/>
      <c r="I91" s="5125"/>
      <c r="J91" s="5125"/>
      <c r="K91" s="5125"/>
      <c r="L91" s="5125"/>
      <c r="M91" s="5125"/>
      <c r="N91" s="5125"/>
      <c r="O91" s="5125"/>
      <c r="P91" s="5121">
        <f t="shared" si="33"/>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4"/>
        <v>0</v>
      </c>
      <c r="D92" s="5122"/>
      <c r="E92" s="5122"/>
      <c r="F92" s="5122"/>
      <c r="G92" s="5122"/>
      <c r="H92" s="5122"/>
      <c r="I92" s="5122"/>
      <c r="J92" s="5122"/>
      <c r="K92" s="5122"/>
      <c r="L92" s="5122"/>
      <c r="M92" s="5122"/>
      <c r="N92" s="5122"/>
      <c r="O92" s="5122"/>
      <c r="P92" s="5123">
        <f t="shared" si="33"/>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37"/>
        <v>0</v>
      </c>
      <c r="D93" s="329"/>
      <c r="E93" s="329"/>
      <c r="F93" s="329"/>
      <c r="G93" s="5125"/>
      <c r="H93" s="329"/>
      <c r="I93" s="5125"/>
      <c r="J93" s="329"/>
      <c r="K93" s="329"/>
      <c r="L93" s="329"/>
      <c r="M93" s="329"/>
      <c r="N93" s="329"/>
      <c r="O93" s="329"/>
      <c r="P93" s="5123">
        <f t="shared" si="33"/>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4"/>
        <v>0</v>
      </c>
      <c r="D94" s="5122"/>
      <c r="E94" s="5122"/>
      <c r="F94" s="5122"/>
      <c r="G94" s="5122"/>
      <c r="H94" s="5122"/>
      <c r="I94" s="5122"/>
      <c r="J94" s="5122"/>
      <c r="K94" s="5122"/>
      <c r="L94" s="5122"/>
      <c r="M94" s="5122"/>
      <c r="N94" s="5122"/>
      <c r="O94" s="5122"/>
      <c r="P94" s="5123">
        <f t="shared" si="33"/>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37"/>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4"/>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37"/>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4"/>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3"/>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4"/>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4"/>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1">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4"/>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1"/>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4"/>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1"/>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6"/>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4"/>
        <v>80946.835146215482</v>
      </c>
      <c r="D105" s="5122"/>
      <c r="E105" s="5122"/>
      <c r="F105" s="5122"/>
      <c r="G105" s="5122"/>
      <c r="H105" s="5122"/>
      <c r="I105" s="5122"/>
      <c r="J105" s="5122"/>
      <c r="K105" s="5122"/>
      <c r="L105" s="5122"/>
      <c r="M105" s="5122"/>
      <c r="N105" s="5122"/>
      <c r="O105" s="5122"/>
      <c r="P105" s="5123">
        <f t="shared" si="41"/>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37"/>
        <v>13652.513398000039</v>
      </c>
      <c r="D106" s="5125">
        <f t="shared" si="23"/>
        <v>0</v>
      </c>
      <c r="E106" s="5125"/>
      <c r="F106" s="5125"/>
      <c r="G106" s="5125"/>
      <c r="H106" s="5125"/>
      <c r="I106" s="5125"/>
      <c r="J106" s="5125"/>
      <c r="K106" s="5125"/>
      <c r="L106" s="5125"/>
      <c r="M106" s="5125"/>
      <c r="N106" s="5125"/>
      <c r="O106" s="5125"/>
      <c r="P106" s="5121">
        <f t="shared" ref="P106:P112" si="42">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6"/>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4"/>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2"/>
        <v>0.10000000000582077</v>
      </c>
      <c r="Q108" s="5121"/>
      <c r="R108" s="5125"/>
      <c r="S108" s="5125"/>
      <c r="T108" s="5125"/>
      <c r="U108" s="5125"/>
      <c r="V108" s="5121"/>
      <c r="W108" s="5125"/>
      <c r="X108" s="5125"/>
      <c r="Y108" s="5125"/>
      <c r="Z108" s="5125"/>
      <c r="AA108" s="5121"/>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4"/>
        <v>12060</v>
      </c>
      <c r="D109" s="5122"/>
      <c r="E109" s="5122"/>
      <c r="F109" s="5122"/>
      <c r="G109" s="5122"/>
      <c r="H109" s="5122"/>
      <c r="I109" s="5122"/>
      <c r="J109" s="5122"/>
      <c r="K109" s="5122"/>
      <c r="L109" s="5122"/>
      <c r="M109" s="5122"/>
      <c r="N109" s="5122"/>
      <c r="O109" s="5122"/>
      <c r="P109" s="5962">
        <f t="shared" si="42"/>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6"/>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4"/>
        <v>0.10000000000582077</v>
      </c>
      <c r="D110" s="329">
        <f t="shared" si="23"/>
        <v>0</v>
      </c>
      <c r="E110" s="329"/>
      <c r="F110" s="329"/>
      <c r="G110" s="5125"/>
      <c r="H110" s="329"/>
      <c r="I110" s="5125"/>
      <c r="J110" s="329"/>
      <c r="K110" s="329"/>
      <c r="L110" s="329"/>
      <c r="M110" s="329"/>
      <c r="N110" s="329"/>
      <c r="O110" s="329"/>
      <c r="P110" s="5962">
        <f t="shared" si="42"/>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28">
        <f>+C112</f>
        <v>13427.738688122938</v>
      </c>
      <c r="D111" s="329">
        <f t="shared" si="23"/>
        <v>0</v>
      </c>
      <c r="E111" s="329"/>
      <c r="F111" s="329"/>
      <c r="G111" s="5125"/>
      <c r="H111" s="329"/>
      <c r="I111" s="5125"/>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4"/>
        <v>13427.738688122938</v>
      </c>
      <c r="D112" s="328">
        <f t="shared" si="23"/>
        <v>0</v>
      </c>
      <c r="E112" s="328"/>
      <c r="F112" s="328"/>
      <c r="G112" s="5122"/>
      <c r="H112" s="328"/>
      <c r="I112" s="5122"/>
      <c r="J112" s="328"/>
      <c r="K112" s="328"/>
      <c r="L112" s="328"/>
      <c r="M112" s="328"/>
      <c r="N112" s="328"/>
      <c r="O112" s="328"/>
      <c r="P112" s="5962">
        <f t="shared" si="42"/>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6"/>
        <v>0</v>
      </c>
      <c r="AI112" s="328"/>
      <c r="AJ112" s="328"/>
      <c r="AK112" s="328"/>
      <c r="AL112" s="328"/>
      <c r="AM112" s="328"/>
      <c r="AN112" s="1656"/>
    </row>
    <row r="113" spans="1:41" s="380" customFormat="1" ht="34.799999999999997">
      <c r="A113" s="611">
        <v>13</v>
      </c>
      <c r="B113" s="630" t="s">
        <v>722</v>
      </c>
      <c r="C113" s="5128">
        <f t="shared" si="37"/>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37"/>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28">
        <f t="shared" si="37"/>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28">
        <f t="shared" si="37"/>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37"/>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28">
        <f t="shared" si="37"/>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28">
        <f t="shared" si="37"/>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28">
        <f t="shared" si="37"/>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37"/>
        <v>163959.4</v>
      </c>
      <c r="D121" s="1658">
        <f t="shared" ref="D121" si="45">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28">
        <f t="shared" si="37"/>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37"/>
        <v>2530494</v>
      </c>
      <c r="D123" s="1658">
        <f t="shared" ref="D123:D127" si="46">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6"/>
        <v>2530494</v>
      </c>
      <c r="AI123" s="1658">
        <f>+'Phụ lục số 5'!AI123</f>
        <v>2530494</v>
      </c>
      <c r="AJ123" s="329"/>
      <c r="AK123" s="329"/>
      <c r="AL123" s="329"/>
      <c r="AM123" s="329"/>
      <c r="AN123" s="1657"/>
    </row>
    <row r="124" spans="1:41" s="380" customFormat="1" ht="34.799999999999997">
      <c r="A124" s="611" t="s">
        <v>731</v>
      </c>
      <c r="B124" s="612" t="s">
        <v>765</v>
      </c>
      <c r="C124" s="5128">
        <f t="shared" si="37"/>
        <v>0</v>
      </c>
      <c r="D124" s="1658">
        <f t="shared" si="46"/>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6"/>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11" t="str">
        <f>+'Phụ lục số 6'!A1:E1</f>
        <v>DỰ TOÁN CHI NGÂN SÁCH CHO MỘT SỐ CHƯƠNG TRÌNH, DỰ ÁN, NHIỆM VỤ KHÁC QUAN TRỌNG NĂM 2025</v>
      </c>
      <c r="B1" s="6499"/>
      <c r="C1" s="6499"/>
      <c r="D1" s="6499"/>
      <c r="E1" s="6499"/>
    </row>
    <row r="2" spans="1:5">
      <c r="A2" s="6514" t="str">
        <f>+'Phụ lục 5-CKNS'!A2:AM2</f>
        <v>(Kèm theo Quyết định số       /QĐ-UBND-HC ngày     /12/2024 của Ủy ban nhân dân tỉnh Đồng Tháp)</v>
      </c>
      <c r="B2" s="6500"/>
      <c r="C2" s="6500"/>
      <c r="D2" s="6500"/>
      <c r="E2" s="6500"/>
    </row>
    <row r="3" spans="1:5">
      <c r="A3" s="431"/>
      <c r="B3" s="2635"/>
      <c r="C3" s="2635"/>
      <c r="D3" s="2635"/>
      <c r="E3" s="2635"/>
    </row>
    <row r="4" spans="1:5" ht="18.600000000000001" thickBot="1">
      <c r="B4" s="6577" t="s">
        <v>638</v>
      </c>
      <c r="C4" s="6577"/>
      <c r="D4" s="6577"/>
      <c r="E4" s="6577"/>
    </row>
    <row r="5" spans="1:5" s="431" customFormat="1" thickTop="1">
      <c r="A5" s="6563" t="s">
        <v>247</v>
      </c>
      <c r="B5" s="6521" t="s">
        <v>1123</v>
      </c>
      <c r="C5" s="6521" t="s">
        <v>1455</v>
      </c>
      <c r="D5" s="6521" t="s">
        <v>998</v>
      </c>
      <c r="E5" s="6578"/>
    </row>
    <row r="6" spans="1:5" s="431" customFormat="1" ht="34.799999999999997">
      <c r="A6" s="6564"/>
      <c r="B6" s="6046"/>
      <c r="C6" s="6046"/>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2" t="s">
        <v>3164</v>
      </c>
      <c r="B1" s="6292"/>
      <c r="C1" s="6292"/>
      <c r="D1" s="6292"/>
      <c r="E1" s="6292"/>
      <c r="F1" s="6292"/>
      <c r="G1" s="6292"/>
      <c r="H1" s="6292"/>
      <c r="I1" s="6292"/>
      <c r="J1" s="6292"/>
      <c r="K1" s="6292"/>
      <c r="L1" s="6292"/>
      <c r="M1" s="6292"/>
      <c r="N1" s="6292"/>
      <c r="O1" s="6292"/>
      <c r="P1" s="6292"/>
      <c r="Q1" s="6292"/>
      <c r="R1" s="6292"/>
      <c r="S1" s="6292"/>
      <c r="T1" s="6292"/>
      <c r="U1" s="6292"/>
      <c r="V1" s="6292"/>
    </row>
    <row r="2" spans="1:22">
      <c r="A2" s="6510" t="str">
        <f>+'Phụ lục 6-CKNS'!A2:E2</f>
        <v>(Kèm theo Quyết định số       /QĐ-UBND-HC ngày     /12/2024 của Ủy ban nhân dân tỉnh Đồng Tháp)</v>
      </c>
      <c r="B2" s="6510"/>
      <c r="C2" s="6510"/>
      <c r="D2" s="6510"/>
      <c r="E2" s="6510"/>
      <c r="F2" s="6510"/>
      <c r="G2" s="6510"/>
      <c r="H2" s="6510"/>
      <c r="I2" s="6510"/>
      <c r="J2" s="6510"/>
      <c r="K2" s="6510"/>
      <c r="L2" s="6510"/>
      <c r="M2" s="6510"/>
      <c r="N2" s="6510"/>
      <c r="O2" s="6510"/>
      <c r="P2" s="6510"/>
      <c r="Q2" s="6510"/>
      <c r="R2" s="6510"/>
      <c r="S2" s="6510"/>
      <c r="T2" s="6510"/>
      <c r="U2" s="6510"/>
      <c r="V2" s="6510"/>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08" t="s">
        <v>638</v>
      </c>
      <c r="T4" s="6508"/>
      <c r="U4" s="6508"/>
      <c r="V4" s="6508"/>
    </row>
    <row r="5" spans="1:22" s="49" customFormat="1" thickTop="1">
      <c r="A5" s="6569" t="s">
        <v>247</v>
      </c>
      <c r="B5" s="6571" t="s">
        <v>1526</v>
      </c>
      <c r="C5" s="6571" t="s">
        <v>3194</v>
      </c>
      <c r="D5" s="6571" t="s">
        <v>1527</v>
      </c>
      <c r="E5" s="6571"/>
      <c r="F5" s="6571"/>
      <c r="G5" s="6571"/>
      <c r="H5" s="6571"/>
      <c r="I5" s="6571"/>
      <c r="J5" s="6571"/>
      <c r="K5" s="6571"/>
      <c r="L5" s="6571"/>
      <c r="M5" s="6571" t="s">
        <v>3169</v>
      </c>
      <c r="N5" s="6080" t="s">
        <v>1724</v>
      </c>
      <c r="O5" s="6080"/>
      <c r="P5" s="6080"/>
      <c r="Q5" s="6080"/>
      <c r="R5" s="6080"/>
      <c r="S5" s="6080"/>
      <c r="T5" s="6080"/>
      <c r="U5" s="6080"/>
      <c r="V5" s="6081"/>
    </row>
    <row r="6" spans="1:22" s="49" customFormat="1" ht="17.399999999999999">
      <c r="A6" s="6570"/>
      <c r="B6" s="6295"/>
      <c r="C6" s="6295"/>
      <c r="D6" s="6295" t="s">
        <v>1528</v>
      </c>
      <c r="E6" s="6295" t="s">
        <v>1529</v>
      </c>
      <c r="F6" s="6295" t="s">
        <v>645</v>
      </c>
      <c r="G6" s="6295"/>
      <c r="H6" s="6295" t="s">
        <v>1530</v>
      </c>
      <c r="I6" s="6295" t="s">
        <v>645</v>
      </c>
      <c r="J6" s="6295"/>
      <c r="K6" s="6295"/>
      <c r="L6" s="6295" t="s">
        <v>1531</v>
      </c>
      <c r="M6" s="6295"/>
      <c r="N6" s="6506" t="s">
        <v>208</v>
      </c>
      <c r="O6" s="6506"/>
      <c r="P6" s="6506"/>
      <c r="Q6" s="6506" t="s">
        <v>209</v>
      </c>
      <c r="R6" s="6506"/>
      <c r="S6" s="6506"/>
      <c r="T6" s="6295" t="s">
        <v>175</v>
      </c>
      <c r="U6" s="6295" t="s">
        <v>176</v>
      </c>
      <c r="V6" s="6568" t="s">
        <v>825</v>
      </c>
    </row>
    <row r="7" spans="1:22" s="49" customFormat="1" ht="18.75" customHeight="1">
      <c r="A7" s="6570"/>
      <c r="B7" s="6295"/>
      <c r="C7" s="6295"/>
      <c r="D7" s="6295"/>
      <c r="E7" s="6295"/>
      <c r="F7" s="6295"/>
      <c r="G7" s="6295"/>
      <c r="H7" s="6295"/>
      <c r="I7" s="6046" t="s">
        <v>205</v>
      </c>
      <c r="J7" s="6046" t="s">
        <v>3163</v>
      </c>
      <c r="K7" s="6046" t="s">
        <v>3167</v>
      </c>
      <c r="L7" s="6295"/>
      <c r="M7" s="6295"/>
      <c r="N7" s="6295" t="s">
        <v>387</v>
      </c>
      <c r="O7" s="6295" t="s">
        <v>645</v>
      </c>
      <c r="P7" s="6295"/>
      <c r="Q7" s="6295" t="s">
        <v>387</v>
      </c>
      <c r="R7" s="6506" t="s">
        <v>645</v>
      </c>
      <c r="S7" s="6506"/>
      <c r="T7" s="6295"/>
      <c r="U7" s="6295"/>
      <c r="V7" s="6568"/>
    </row>
    <row r="8" spans="1:22" s="49" customFormat="1" ht="284.25" customHeight="1">
      <c r="A8" s="6570"/>
      <c r="B8" s="6295"/>
      <c r="C8" s="6295"/>
      <c r="D8" s="6295"/>
      <c r="E8" s="6295"/>
      <c r="F8" s="2247" t="s">
        <v>1533</v>
      </c>
      <c r="G8" s="2247" t="s">
        <v>1534</v>
      </c>
      <c r="H8" s="6295"/>
      <c r="I8" s="6046"/>
      <c r="J8" s="6046"/>
      <c r="K8" s="6046"/>
      <c r="L8" s="6295"/>
      <c r="M8" s="6295"/>
      <c r="N8" s="6295"/>
      <c r="O8" s="2247" t="s">
        <v>143</v>
      </c>
      <c r="P8" s="2247" t="s">
        <v>144</v>
      </c>
      <c r="Q8" s="6295"/>
      <c r="R8" s="2247" t="s">
        <v>824</v>
      </c>
      <c r="S8" s="2247" t="s">
        <v>740</v>
      </c>
      <c r="T8" s="6295"/>
      <c r="U8" s="6295"/>
      <c r="V8" s="6568"/>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559" t="s">
        <v>3283</v>
      </c>
      <c r="B1" s="6140"/>
      <c r="C1" s="6140"/>
      <c r="D1" s="6140"/>
      <c r="E1" s="6140"/>
      <c r="F1" s="6140"/>
      <c r="G1" s="6140"/>
      <c r="H1" s="6140"/>
      <c r="I1" s="6140"/>
      <c r="J1" s="6140"/>
      <c r="K1" s="6140"/>
      <c r="L1" s="6140"/>
      <c r="M1" s="6140"/>
      <c r="N1" s="6140"/>
      <c r="O1" s="6140"/>
      <c r="P1" s="6140"/>
      <c r="Q1" s="6140"/>
    </row>
    <row r="2" spans="1:17" ht="15.6">
      <c r="A2" s="6609" t="str">
        <f>+'Phụ lục 7-CKNS'!A2:V2</f>
        <v>(Kèm theo Quyết định số       /QĐ-UBND-HC ngày     /12/2024 của Ủy ban nhân dân tỉnh Đồng Tháp)</v>
      </c>
      <c r="B2" s="6610"/>
      <c r="C2" s="6610"/>
      <c r="D2" s="6610"/>
      <c r="E2" s="6610"/>
      <c r="F2" s="6610"/>
      <c r="G2" s="6610"/>
      <c r="H2" s="6610"/>
      <c r="I2" s="6610"/>
      <c r="J2" s="6610"/>
      <c r="K2" s="6610"/>
      <c r="L2" s="6610"/>
      <c r="M2" s="6610"/>
      <c r="N2" s="6610"/>
      <c r="O2" s="6610"/>
      <c r="P2" s="6610"/>
      <c r="Q2" s="6610"/>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143" t="s">
        <v>2469</v>
      </c>
      <c r="Q4" s="6143"/>
    </row>
    <row r="5" spans="1:17" s="2423" customFormat="1" ht="15.6">
      <c r="A5" s="6075" t="s">
        <v>1660</v>
      </c>
      <c r="B5" s="6134" t="s">
        <v>1161</v>
      </c>
      <c r="C5" s="6349" t="s">
        <v>2470</v>
      </c>
      <c r="D5" s="6350"/>
      <c r="E5" s="6350"/>
      <c r="F5" s="6350"/>
      <c r="G5" s="6350"/>
      <c r="H5" s="6350"/>
      <c r="I5" s="6350"/>
      <c r="J5" s="6350"/>
      <c r="K5" s="6350"/>
      <c r="L5" s="6350"/>
      <c r="M5" s="6350"/>
      <c r="N5" s="6350"/>
      <c r="O5" s="6350"/>
      <c r="P5" s="6350"/>
      <c r="Q5" s="6351"/>
    </row>
    <row r="6" spans="1:17" s="2423" customFormat="1" ht="15.6">
      <c r="A6" s="6075"/>
      <c r="B6" s="6134"/>
      <c r="C6" s="6565" t="s">
        <v>1477</v>
      </c>
      <c r="D6" s="6566"/>
      <c r="E6" s="6566"/>
      <c r="F6" s="6566"/>
      <c r="G6" s="6567"/>
      <c r="H6" s="6134" t="s">
        <v>2471</v>
      </c>
      <c r="I6" s="6134" t="s">
        <v>20</v>
      </c>
      <c r="J6" s="6134" t="s">
        <v>2472</v>
      </c>
      <c r="K6" s="6608" t="s">
        <v>1479</v>
      </c>
      <c r="L6" s="6608" t="s">
        <v>97</v>
      </c>
      <c r="M6" s="6134" t="s">
        <v>2473</v>
      </c>
      <c r="N6" s="6560" t="s">
        <v>2474</v>
      </c>
      <c r="O6" s="6134" t="s">
        <v>2475</v>
      </c>
      <c r="P6" s="6562" t="s">
        <v>2476</v>
      </c>
      <c r="Q6" s="6608" t="s">
        <v>2477</v>
      </c>
    </row>
    <row r="7" spans="1:17" s="1382" customFormat="1" ht="106.5" customHeight="1">
      <c r="A7" s="6075"/>
      <c r="B7" s="6134"/>
      <c r="C7" s="1383" t="s">
        <v>2478</v>
      </c>
      <c r="D7" s="1383" t="s">
        <v>2479</v>
      </c>
      <c r="E7" s="1383" t="s">
        <v>10</v>
      </c>
      <c r="F7" s="1383" t="s">
        <v>2480</v>
      </c>
      <c r="G7" s="1383" t="s">
        <v>2481</v>
      </c>
      <c r="H7" s="6134"/>
      <c r="I7" s="6134"/>
      <c r="J7" s="6134"/>
      <c r="K7" s="6608"/>
      <c r="L7" s="6608"/>
      <c r="M7" s="6134"/>
      <c r="N7" s="6403"/>
      <c r="O7" s="6134"/>
      <c r="P7" s="6562"/>
      <c r="Q7" s="6608"/>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2482</v>
      </c>
      <c r="C20" s="1192"/>
      <c r="D20" s="1192"/>
      <c r="E20" s="1192"/>
      <c r="F20" s="1192"/>
      <c r="G20" s="1192"/>
      <c r="H20" s="1192"/>
      <c r="I20" s="1192"/>
      <c r="J20" s="1192"/>
      <c r="K20" s="1192"/>
      <c r="L20" s="1192"/>
      <c r="M20" s="6607"/>
      <c r="N20" s="6607"/>
      <c r="O20" s="6607"/>
      <c r="P20" s="6607"/>
      <c r="Q20" s="1192"/>
    </row>
    <row r="21" spans="1:23" ht="15.6">
      <c r="A21" s="1192"/>
      <c r="B21" s="4341" t="s">
        <v>2483</v>
      </c>
      <c r="C21" s="1192"/>
      <c r="D21" s="1192"/>
      <c r="E21" s="1192"/>
      <c r="F21" s="1192"/>
      <c r="G21" s="1192"/>
      <c r="H21" s="1192"/>
      <c r="I21" s="1192"/>
      <c r="J21" s="1192"/>
      <c r="K21" s="1192"/>
      <c r="L21" s="1192"/>
      <c r="M21" s="6140"/>
      <c r="N21" s="6140"/>
      <c r="O21" s="6140"/>
      <c r="P21" s="6140"/>
      <c r="Q21" s="1192"/>
    </row>
    <row r="22" spans="1:23" ht="15.6">
      <c r="A22" s="1192"/>
      <c r="B22" s="4341" t="s">
        <v>2484</v>
      </c>
      <c r="C22" s="1192"/>
      <c r="D22" s="1192"/>
      <c r="E22" s="1192"/>
      <c r="F22" s="1192"/>
      <c r="G22" s="1192"/>
      <c r="H22" s="1192"/>
      <c r="I22" s="1192"/>
      <c r="J22" s="1192"/>
      <c r="K22" s="1192"/>
      <c r="L22" s="1192"/>
      <c r="M22" s="6140"/>
      <c r="N22" s="6140"/>
      <c r="O22" s="6140"/>
      <c r="P22" s="6140"/>
      <c r="Q22" s="1192"/>
    </row>
    <row r="23" spans="1:23" ht="15.6">
      <c r="A23" s="1192"/>
      <c r="B23" s="4341" t="s">
        <v>2485</v>
      </c>
      <c r="C23" s="1192"/>
      <c r="D23" s="1192"/>
      <c r="E23" s="1192"/>
      <c r="F23" s="1192"/>
      <c r="G23" s="1192"/>
      <c r="H23" s="1192"/>
      <c r="I23" s="1192"/>
      <c r="J23" s="1192"/>
      <c r="K23" s="1192"/>
      <c r="L23" s="1192"/>
      <c r="M23" s="1192"/>
      <c r="N23" s="1192"/>
      <c r="O23" s="1192"/>
      <c r="P23" s="1192"/>
      <c r="Q23" s="1192"/>
    </row>
    <row r="24" spans="1:23" ht="15.6">
      <c r="A24" s="1192"/>
      <c r="B24" s="4341" t="s">
        <v>2486</v>
      </c>
      <c r="C24" s="1192"/>
      <c r="D24" s="1192"/>
      <c r="E24" s="1192"/>
      <c r="F24" s="1192"/>
      <c r="G24" s="1192"/>
      <c r="H24" s="1192"/>
      <c r="I24" s="1192"/>
      <c r="J24" s="1192"/>
      <c r="K24" s="1192"/>
      <c r="L24" s="1192"/>
      <c r="M24" s="1192"/>
      <c r="N24" s="1192"/>
      <c r="O24" s="1192"/>
      <c r="P24" s="1192"/>
      <c r="Q24" s="1192"/>
    </row>
    <row r="25" spans="1:23" ht="15.6">
      <c r="A25" s="1192"/>
      <c r="B25" s="4341" t="s">
        <v>2487</v>
      </c>
      <c r="C25" s="1192"/>
      <c r="D25" s="1192"/>
      <c r="E25" s="1192"/>
      <c r="F25" s="1192"/>
      <c r="G25" s="1192"/>
      <c r="H25" s="1192"/>
      <c r="I25" s="1192"/>
      <c r="J25" s="1192"/>
      <c r="K25" s="1192"/>
      <c r="L25" s="1192"/>
      <c r="M25" s="1192"/>
      <c r="N25" s="1192"/>
      <c r="O25" s="1192"/>
      <c r="P25" s="1192"/>
      <c r="Q25" s="1192"/>
    </row>
    <row r="26" spans="1:23" ht="15.6">
      <c r="A26" s="1192"/>
      <c r="B26" s="4341" t="s">
        <v>2488</v>
      </c>
      <c r="C26" s="1192"/>
      <c r="D26" s="1192"/>
      <c r="E26" s="1192"/>
      <c r="F26" s="1192"/>
      <c r="G26" s="1192"/>
      <c r="H26" s="1192"/>
      <c r="I26" s="1192"/>
      <c r="J26" s="1192"/>
      <c r="K26" s="1192"/>
      <c r="L26" s="1192"/>
      <c r="M26" s="1192"/>
      <c r="N26" s="1192"/>
      <c r="O26" s="1192"/>
      <c r="P26" s="1192"/>
      <c r="Q26" s="1192"/>
    </row>
    <row r="27" spans="1:23" ht="28.5" customHeight="1">
      <c r="A27" s="1192"/>
      <c r="B27" s="6561" t="s">
        <v>2489</v>
      </c>
      <c r="C27" s="6561"/>
      <c r="D27" s="6561"/>
      <c r="E27" s="6561"/>
      <c r="F27" s="6561"/>
      <c r="G27" s="6561"/>
      <c r="H27" s="6561"/>
      <c r="I27" s="6561"/>
      <c r="J27" s="6561"/>
      <c r="K27" s="6561"/>
      <c r="L27" s="6561"/>
      <c r="M27" s="6561"/>
      <c r="N27" s="6561"/>
      <c r="O27" s="6561"/>
      <c r="P27" s="6561"/>
      <c r="Q27" s="6561"/>
    </row>
    <row r="28" spans="1:23">
      <c r="B28" s="4341" t="s">
        <v>3284</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140" t="s">
        <v>2490</v>
      </c>
      <c r="B1" s="6140"/>
      <c r="C1" s="6140"/>
      <c r="D1" s="6140"/>
      <c r="E1" s="6140"/>
      <c r="F1" s="6140"/>
      <c r="G1" s="6140"/>
    </row>
    <row r="2" spans="1:7">
      <c r="A2" s="6559" t="s">
        <v>3285</v>
      </c>
      <c r="B2" s="6140"/>
      <c r="C2" s="6140"/>
      <c r="D2" s="6140"/>
      <c r="E2" s="6140"/>
      <c r="F2" s="6140"/>
      <c r="G2" s="6140"/>
    </row>
    <row r="3" spans="1:7">
      <c r="A3" s="6609" t="str">
        <f>+'Phụ lục 8-CKNS'!A2:Q2</f>
        <v>(Kèm theo Quyết định số       /QĐ-UBND-HC ngày     /12/2024 của Ủy ban nhân dân tỉnh Đồng Tháp)</v>
      </c>
      <c r="B3" s="6610"/>
      <c r="C3" s="6610"/>
      <c r="D3" s="6610"/>
      <c r="E3" s="6610"/>
      <c r="F3" s="6610"/>
      <c r="G3" s="6610"/>
    </row>
    <row r="4" spans="1:7">
      <c r="F4" s="6611" t="s">
        <v>2491</v>
      </c>
      <c r="G4" s="6611"/>
    </row>
    <row r="5" spans="1:7">
      <c r="A5" s="6075" t="s">
        <v>1660</v>
      </c>
      <c r="B5" s="6134" t="s">
        <v>2492</v>
      </c>
      <c r="C5" s="6612"/>
      <c r="D5" s="6612"/>
      <c r="E5" s="6612"/>
      <c r="F5" s="6612"/>
      <c r="G5" s="6612"/>
    </row>
    <row r="6" spans="1:7" s="3042" customFormat="1" ht="46.8">
      <c r="A6" s="6075"/>
      <c r="B6" s="6134"/>
      <c r="C6" s="1383" t="s">
        <v>97</v>
      </c>
      <c r="D6" s="1383" t="s">
        <v>2493</v>
      </c>
      <c r="E6" s="1383" t="s">
        <v>1479</v>
      </c>
      <c r="F6" s="1383" t="s">
        <v>2494</v>
      </c>
      <c r="G6" s="1383" t="s">
        <v>2495</v>
      </c>
    </row>
    <row r="7" spans="1:7" s="2423" customFormat="1">
      <c r="A7" s="4401" t="s">
        <v>3</v>
      </c>
      <c r="B7" s="4402" t="s">
        <v>1135</v>
      </c>
      <c r="C7" s="4403"/>
      <c r="D7" s="4403"/>
      <c r="E7" s="4403"/>
      <c r="F7" s="4403"/>
      <c r="G7" s="4403"/>
    </row>
    <row r="8" spans="1:7" s="2423" customFormat="1">
      <c r="A8" s="4404">
        <v>1</v>
      </c>
      <c r="B8" s="4405" t="s">
        <v>2496</v>
      </c>
      <c r="C8" s="4406">
        <v>1</v>
      </c>
      <c r="D8" s="4406">
        <v>1</v>
      </c>
      <c r="E8" s="4406">
        <v>1</v>
      </c>
      <c r="F8" s="4406">
        <v>1</v>
      </c>
      <c r="G8" s="4406">
        <v>1</v>
      </c>
    </row>
    <row r="9" spans="1:7">
      <c r="A9" s="4404">
        <v>2</v>
      </c>
      <c r="B9" s="4405" t="s">
        <v>2497</v>
      </c>
      <c r="C9" s="4406">
        <v>1</v>
      </c>
      <c r="D9" s="4406">
        <v>1</v>
      </c>
      <c r="E9" s="4406">
        <v>1</v>
      </c>
      <c r="F9" s="4406">
        <v>1</v>
      </c>
      <c r="G9" s="4406">
        <v>1</v>
      </c>
    </row>
    <row r="10" spans="1:7">
      <c r="A10" s="4404">
        <v>3</v>
      </c>
      <c r="B10" s="4405" t="s">
        <v>2498</v>
      </c>
      <c r="C10" s="4406">
        <v>1</v>
      </c>
      <c r="D10" s="4406">
        <v>1</v>
      </c>
      <c r="E10" s="4406">
        <v>1</v>
      </c>
      <c r="F10" s="4406">
        <v>1</v>
      </c>
      <c r="G10" s="4406">
        <v>1</v>
      </c>
    </row>
    <row r="11" spans="1:7">
      <c r="A11" s="4404">
        <v>4</v>
      </c>
      <c r="B11" s="4405" t="s">
        <v>2499</v>
      </c>
      <c r="C11" s="4406">
        <v>1</v>
      </c>
      <c r="D11" s="4406">
        <v>1</v>
      </c>
      <c r="E11" s="4406">
        <v>1</v>
      </c>
      <c r="F11" s="4406">
        <v>1</v>
      </c>
      <c r="G11" s="4406">
        <v>1</v>
      </c>
    </row>
    <row r="12" spans="1:7">
      <c r="A12" s="4404">
        <v>5</v>
      </c>
      <c r="B12" s="4405" t="s">
        <v>2500</v>
      </c>
      <c r="C12" s="4406">
        <v>1</v>
      </c>
      <c r="D12" s="4406">
        <v>1</v>
      </c>
      <c r="E12" s="4406">
        <v>1</v>
      </c>
      <c r="F12" s="4406">
        <v>1</v>
      </c>
      <c r="G12" s="4406">
        <v>1</v>
      </c>
    </row>
    <row r="13" spans="1:7">
      <c r="A13" s="4404">
        <v>6</v>
      </c>
      <c r="B13" s="4405" t="s">
        <v>2501</v>
      </c>
      <c r="C13" s="4406">
        <v>1</v>
      </c>
      <c r="D13" s="4406">
        <v>1</v>
      </c>
      <c r="E13" s="4406">
        <v>1</v>
      </c>
      <c r="F13" s="4406">
        <v>1</v>
      </c>
      <c r="G13" s="4406">
        <v>1</v>
      </c>
    </row>
    <row r="14" spans="1:7">
      <c r="A14" s="4404">
        <v>7</v>
      </c>
      <c r="B14" s="4405" t="s">
        <v>2502</v>
      </c>
      <c r="C14" s="4406">
        <v>1</v>
      </c>
      <c r="D14" s="4406">
        <v>1</v>
      </c>
      <c r="E14" s="4406">
        <v>1</v>
      </c>
      <c r="F14" s="4406">
        <v>1</v>
      </c>
      <c r="G14" s="4406">
        <v>1</v>
      </c>
    </row>
    <row r="15" spans="1:7">
      <c r="A15" s="4404">
        <v>8</v>
      </c>
      <c r="B15" s="4405" t="s">
        <v>2503</v>
      </c>
      <c r="C15" s="4406">
        <v>1</v>
      </c>
      <c r="D15" s="4406">
        <v>1</v>
      </c>
      <c r="E15" s="4406">
        <v>1</v>
      </c>
      <c r="F15" s="4406">
        <v>1</v>
      </c>
      <c r="G15" s="4406">
        <v>1</v>
      </c>
    </row>
    <row r="16" spans="1:7">
      <c r="A16" s="4404">
        <v>9</v>
      </c>
      <c r="B16" s="4405" t="s">
        <v>2504</v>
      </c>
      <c r="C16" s="4406">
        <v>1</v>
      </c>
      <c r="D16" s="4406">
        <v>1</v>
      </c>
      <c r="E16" s="4406">
        <v>1</v>
      </c>
      <c r="F16" s="4406">
        <v>1</v>
      </c>
      <c r="G16" s="4406">
        <v>1</v>
      </c>
    </row>
    <row r="17" spans="1:7">
      <c r="A17" s="4404">
        <v>10</v>
      </c>
      <c r="B17" s="4405" t="s">
        <v>2505</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2506</v>
      </c>
      <c r="C19" s="6613" t="s">
        <v>2507</v>
      </c>
      <c r="D19" s="6614"/>
      <c r="E19" s="6614"/>
      <c r="F19" s="6615"/>
      <c r="G19" s="4412">
        <v>1</v>
      </c>
    </row>
    <row r="20" spans="1:7">
      <c r="A20" s="4410">
        <v>2</v>
      </c>
      <c r="B20" s="4411" t="s">
        <v>2508</v>
      </c>
      <c r="C20" s="6616"/>
      <c r="D20" s="6617"/>
      <c r="E20" s="6617"/>
      <c r="F20" s="6618"/>
      <c r="G20" s="4412">
        <v>1</v>
      </c>
    </row>
    <row r="21" spans="1:7">
      <c r="A21" s="4413">
        <v>3</v>
      </c>
      <c r="B21" s="4414" t="s">
        <v>2509</v>
      </c>
      <c r="C21" s="6616"/>
      <c r="D21" s="6617"/>
      <c r="E21" s="6617"/>
      <c r="F21" s="6618"/>
      <c r="G21" s="4415">
        <v>1</v>
      </c>
    </row>
    <row r="22" spans="1:7">
      <c r="A22" s="4410">
        <v>4</v>
      </c>
      <c r="B22" s="4411" t="s">
        <v>2510</v>
      </c>
      <c r="C22" s="6616"/>
      <c r="D22" s="6617"/>
      <c r="E22" s="6617"/>
      <c r="F22" s="6618"/>
      <c r="G22" s="4412">
        <v>1</v>
      </c>
    </row>
    <row r="23" spans="1:7">
      <c r="A23" s="4410">
        <v>5</v>
      </c>
      <c r="B23" s="4411" t="s">
        <v>2511</v>
      </c>
      <c r="C23" s="6619"/>
      <c r="D23" s="6620"/>
      <c r="E23" s="6620"/>
      <c r="F23" s="6621"/>
      <c r="G23" s="4412">
        <v>1</v>
      </c>
    </row>
    <row r="24" spans="1:7">
      <c r="A24" s="4404">
        <v>6</v>
      </c>
      <c r="B24" s="4405" t="s">
        <v>2512</v>
      </c>
      <c r="C24" s="4406">
        <v>1</v>
      </c>
      <c r="D24" s="4406">
        <v>1</v>
      </c>
      <c r="E24" s="4406">
        <v>1</v>
      </c>
      <c r="F24" s="4406">
        <v>1</v>
      </c>
      <c r="G24" s="4406">
        <v>1</v>
      </c>
    </row>
    <row r="25" spans="1:7">
      <c r="A25" s="4404">
        <v>7</v>
      </c>
      <c r="B25" s="4405" t="s">
        <v>2513</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2514</v>
      </c>
      <c r="C27" s="4406">
        <v>1</v>
      </c>
      <c r="D27" s="4406">
        <v>1</v>
      </c>
      <c r="E27" s="4406">
        <v>1</v>
      </c>
      <c r="F27" s="4406">
        <v>1</v>
      </c>
      <c r="G27" s="4406">
        <v>1</v>
      </c>
    </row>
    <row r="28" spans="1:7">
      <c r="A28" s="4404">
        <v>2</v>
      </c>
      <c r="B28" s="4405" t="s">
        <v>2515</v>
      </c>
      <c r="C28" s="4406">
        <v>1</v>
      </c>
      <c r="D28" s="4406">
        <v>1</v>
      </c>
      <c r="E28" s="4406">
        <v>1</v>
      </c>
      <c r="F28" s="4406">
        <v>1</v>
      </c>
      <c r="G28" s="4406">
        <v>1</v>
      </c>
    </row>
    <row r="29" spans="1:7">
      <c r="A29" s="4404">
        <v>3</v>
      </c>
      <c r="B29" s="4405" t="s">
        <v>2516</v>
      </c>
      <c r="C29" s="4406">
        <v>1</v>
      </c>
      <c r="D29" s="4406">
        <v>1</v>
      </c>
      <c r="E29" s="4406">
        <v>1</v>
      </c>
      <c r="F29" s="4406">
        <v>1</v>
      </c>
      <c r="G29" s="4406">
        <v>1</v>
      </c>
    </row>
    <row r="30" spans="1:7">
      <c r="A30" s="4404">
        <v>4</v>
      </c>
      <c r="B30" s="4405" t="s">
        <v>2517</v>
      </c>
      <c r="C30" s="4406">
        <v>1</v>
      </c>
      <c r="D30" s="4406">
        <v>1</v>
      </c>
      <c r="E30" s="4406">
        <v>1</v>
      </c>
      <c r="F30" s="4406">
        <v>1</v>
      </c>
      <c r="G30" s="4406">
        <v>1</v>
      </c>
    </row>
    <row r="31" spans="1:7">
      <c r="A31" s="4404">
        <v>5</v>
      </c>
      <c r="B31" s="4405" t="s">
        <v>2518</v>
      </c>
      <c r="C31" s="4406">
        <v>1</v>
      </c>
      <c r="D31" s="4406">
        <v>1</v>
      </c>
      <c r="E31" s="4406">
        <v>1</v>
      </c>
      <c r="F31" s="4406">
        <v>1</v>
      </c>
      <c r="G31" s="4406">
        <v>1</v>
      </c>
    </row>
    <row r="32" spans="1:7">
      <c r="A32" s="4404">
        <v>6</v>
      </c>
      <c r="B32" s="4405" t="s">
        <v>2519</v>
      </c>
      <c r="C32" s="4406">
        <v>1</v>
      </c>
      <c r="D32" s="4406">
        <v>1</v>
      </c>
      <c r="E32" s="4406">
        <v>1</v>
      </c>
      <c r="F32" s="4406">
        <v>1</v>
      </c>
      <c r="G32" s="4406">
        <v>1</v>
      </c>
    </row>
    <row r="33" spans="1:7">
      <c r="A33" s="4404">
        <v>7</v>
      </c>
      <c r="B33" s="4405" t="s">
        <v>2520</v>
      </c>
      <c r="C33" s="4406">
        <v>1</v>
      </c>
      <c r="D33" s="4406">
        <v>1</v>
      </c>
      <c r="E33" s="4406">
        <v>1</v>
      </c>
      <c r="F33" s="4406">
        <v>1</v>
      </c>
      <c r="G33" s="4406">
        <v>1</v>
      </c>
    </row>
    <row r="34" spans="1:7">
      <c r="A34" s="4404">
        <v>8</v>
      </c>
      <c r="B34" s="4405" t="s">
        <v>2521</v>
      </c>
      <c r="C34" s="4406">
        <v>1</v>
      </c>
      <c r="D34" s="4406">
        <v>1</v>
      </c>
      <c r="E34" s="4406">
        <v>1</v>
      </c>
      <c r="F34" s="4406">
        <v>1</v>
      </c>
      <c r="G34" s="4406">
        <v>1</v>
      </c>
    </row>
    <row r="35" spans="1:7">
      <c r="A35" s="4404">
        <v>9</v>
      </c>
      <c r="B35" s="4405" t="s">
        <v>2522</v>
      </c>
      <c r="C35" s="4406">
        <v>1</v>
      </c>
      <c r="D35" s="4406">
        <v>1</v>
      </c>
      <c r="E35" s="4406">
        <v>1</v>
      </c>
      <c r="F35" s="4406">
        <v>1</v>
      </c>
      <c r="G35" s="4406">
        <v>1</v>
      </c>
    </row>
    <row r="36" spans="1:7" s="2423" customFormat="1">
      <c r="A36" s="4407" t="s">
        <v>215</v>
      </c>
      <c r="B36" s="4408" t="s">
        <v>2523</v>
      </c>
      <c r="C36" s="4409"/>
      <c r="D36" s="4409"/>
      <c r="E36" s="4409"/>
      <c r="F36" s="4409"/>
      <c r="G36" s="4409"/>
    </row>
    <row r="37" spans="1:7">
      <c r="A37" s="4404">
        <v>1</v>
      </c>
      <c r="B37" s="4405" t="s">
        <v>2524</v>
      </c>
      <c r="C37" s="4406">
        <v>1</v>
      </c>
      <c r="D37" s="4406">
        <v>1</v>
      </c>
      <c r="E37" s="4406">
        <v>1</v>
      </c>
      <c r="F37" s="4406">
        <v>1</v>
      </c>
      <c r="G37" s="4406">
        <v>1</v>
      </c>
    </row>
    <row r="38" spans="1:7">
      <c r="A38" s="4404">
        <v>2</v>
      </c>
      <c r="B38" s="4405" t="s">
        <v>2525</v>
      </c>
      <c r="C38" s="4406">
        <v>1</v>
      </c>
      <c r="D38" s="4406">
        <v>1</v>
      </c>
      <c r="E38" s="4406">
        <v>1</v>
      </c>
      <c r="F38" s="4406">
        <v>1</v>
      </c>
      <c r="G38" s="4406">
        <v>1</v>
      </c>
    </row>
    <row r="39" spans="1:7">
      <c r="A39" s="4404">
        <v>3</v>
      </c>
      <c r="B39" s="4405" t="s">
        <v>2526</v>
      </c>
      <c r="C39" s="4406">
        <v>1</v>
      </c>
      <c r="D39" s="4406">
        <v>1</v>
      </c>
      <c r="E39" s="4406">
        <v>1</v>
      </c>
      <c r="F39" s="4406">
        <v>1</v>
      </c>
      <c r="G39" s="4406">
        <v>1</v>
      </c>
    </row>
    <row r="40" spans="1:7">
      <c r="A40" s="4404">
        <v>4</v>
      </c>
      <c r="B40" s="4405" t="s">
        <v>2527</v>
      </c>
      <c r="C40" s="4406">
        <v>1</v>
      </c>
      <c r="D40" s="4406">
        <v>1</v>
      </c>
      <c r="E40" s="4406">
        <v>1</v>
      </c>
      <c r="F40" s="4406">
        <v>1</v>
      </c>
      <c r="G40" s="4406">
        <v>1</v>
      </c>
    </row>
    <row r="41" spans="1:7">
      <c r="A41" s="4404">
        <v>5</v>
      </c>
      <c r="B41" s="4405" t="s">
        <v>2528</v>
      </c>
      <c r="C41" s="4406">
        <v>1</v>
      </c>
      <c r="D41" s="4406">
        <v>1</v>
      </c>
      <c r="E41" s="4406">
        <v>1</v>
      </c>
      <c r="F41" s="4406">
        <v>1</v>
      </c>
      <c r="G41" s="4406">
        <v>1</v>
      </c>
    </row>
    <row r="42" spans="1:7">
      <c r="A42" s="4404">
        <v>6</v>
      </c>
      <c r="B42" s="4405" t="s">
        <v>2529</v>
      </c>
      <c r="C42" s="4406">
        <v>1</v>
      </c>
      <c r="D42" s="4406">
        <v>1</v>
      </c>
      <c r="E42" s="4406">
        <v>1</v>
      </c>
      <c r="F42" s="4406">
        <v>1</v>
      </c>
      <c r="G42" s="4406">
        <v>1</v>
      </c>
    </row>
    <row r="43" spans="1:7">
      <c r="A43" s="4404">
        <v>7</v>
      </c>
      <c r="B43" s="4405" t="s">
        <v>2530</v>
      </c>
      <c r="C43" s="4406">
        <v>1</v>
      </c>
      <c r="D43" s="4406">
        <v>1</v>
      </c>
      <c r="E43" s="4406">
        <v>1</v>
      </c>
      <c r="F43" s="4406">
        <v>1</v>
      </c>
      <c r="G43" s="4406">
        <v>1</v>
      </c>
    </row>
    <row r="44" spans="1:7">
      <c r="A44" s="4404">
        <v>8</v>
      </c>
      <c r="B44" s="4405" t="s">
        <v>2531</v>
      </c>
      <c r="C44" s="4406">
        <v>1</v>
      </c>
      <c r="D44" s="4406">
        <v>1</v>
      </c>
      <c r="E44" s="4406">
        <v>1</v>
      </c>
      <c r="F44" s="4406">
        <v>1</v>
      </c>
      <c r="G44" s="4406">
        <v>1</v>
      </c>
    </row>
    <row r="45" spans="1:7">
      <c r="A45" s="4404">
        <v>9</v>
      </c>
      <c r="B45" s="4405" t="s">
        <v>2532</v>
      </c>
      <c r="C45" s="4406">
        <v>1</v>
      </c>
      <c r="D45" s="4406">
        <v>1</v>
      </c>
      <c r="E45" s="4406">
        <v>1</v>
      </c>
      <c r="F45" s="4406">
        <v>1</v>
      </c>
      <c r="G45" s="4406">
        <v>1</v>
      </c>
    </row>
    <row r="46" spans="1:7">
      <c r="A46" s="4404">
        <v>10</v>
      </c>
      <c r="B46" s="4405" t="s">
        <v>2533</v>
      </c>
      <c r="C46" s="4406">
        <v>1</v>
      </c>
      <c r="D46" s="4406">
        <v>1</v>
      </c>
      <c r="E46" s="4406">
        <v>1</v>
      </c>
      <c r="F46" s="4406">
        <v>1</v>
      </c>
      <c r="G46" s="4406">
        <v>1</v>
      </c>
    </row>
    <row r="47" spans="1:7">
      <c r="A47" s="4404">
        <v>11</v>
      </c>
      <c r="B47" s="4405" t="s">
        <v>2534</v>
      </c>
      <c r="C47" s="4406">
        <v>1</v>
      </c>
      <c r="D47" s="4406">
        <v>1</v>
      </c>
      <c r="E47" s="4406">
        <v>1</v>
      </c>
      <c r="F47" s="4406">
        <v>1</v>
      </c>
      <c r="G47" s="4406">
        <v>1</v>
      </c>
    </row>
    <row r="48" spans="1:7">
      <c r="A48" s="4404">
        <v>12</v>
      </c>
      <c r="B48" s="4405" t="s">
        <v>2535</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2536</v>
      </c>
      <c r="C50" s="4406">
        <v>1</v>
      </c>
      <c r="D50" s="4406">
        <v>1</v>
      </c>
      <c r="E50" s="4406">
        <v>1</v>
      </c>
      <c r="F50" s="4406">
        <v>1</v>
      </c>
      <c r="G50" s="4406">
        <v>1</v>
      </c>
    </row>
    <row r="51" spans="1:7">
      <c r="A51" s="4404">
        <v>2</v>
      </c>
      <c r="B51" s="4416" t="s">
        <v>2537</v>
      </c>
      <c r="C51" s="4406">
        <v>1</v>
      </c>
      <c r="D51" s="4406">
        <v>1</v>
      </c>
      <c r="E51" s="4406">
        <v>1</v>
      </c>
      <c r="F51" s="4406">
        <v>1</v>
      </c>
      <c r="G51" s="4406">
        <v>1</v>
      </c>
    </row>
    <row r="52" spans="1:7">
      <c r="A52" s="4404">
        <v>3</v>
      </c>
      <c r="B52" s="4416" t="s">
        <v>2538</v>
      </c>
      <c r="C52" s="4406">
        <v>1</v>
      </c>
      <c r="D52" s="4406">
        <v>1</v>
      </c>
      <c r="E52" s="4406">
        <v>1</v>
      </c>
      <c r="F52" s="4406">
        <v>1</v>
      </c>
      <c r="G52" s="4406">
        <v>1</v>
      </c>
    </row>
    <row r="53" spans="1:7">
      <c r="A53" s="4404">
        <v>4</v>
      </c>
      <c r="B53" s="4416" t="s">
        <v>2539</v>
      </c>
      <c r="C53" s="4406">
        <v>1</v>
      </c>
      <c r="D53" s="4406">
        <v>1</v>
      </c>
      <c r="E53" s="4406">
        <v>1</v>
      </c>
      <c r="F53" s="4406">
        <v>1</v>
      </c>
      <c r="G53" s="4406">
        <v>1</v>
      </c>
    </row>
    <row r="54" spans="1:7">
      <c r="A54" s="4404">
        <v>5</v>
      </c>
      <c r="B54" s="4416" t="s">
        <v>2540</v>
      </c>
      <c r="C54" s="4406">
        <v>1</v>
      </c>
      <c r="D54" s="4406">
        <v>1</v>
      </c>
      <c r="E54" s="4406">
        <v>1</v>
      </c>
      <c r="F54" s="4406">
        <v>1</v>
      </c>
      <c r="G54" s="4406">
        <v>1</v>
      </c>
    </row>
    <row r="55" spans="1:7">
      <c r="A55" s="4404">
        <v>6</v>
      </c>
      <c r="B55" s="4416" t="s">
        <v>2541</v>
      </c>
      <c r="C55" s="4406">
        <v>1</v>
      </c>
      <c r="D55" s="4406">
        <v>1</v>
      </c>
      <c r="E55" s="4406">
        <v>1</v>
      </c>
      <c r="F55" s="4406">
        <v>1</v>
      </c>
      <c r="G55" s="4406">
        <v>1</v>
      </c>
    </row>
    <row r="56" spans="1:7">
      <c r="A56" s="4404">
        <v>7</v>
      </c>
      <c r="B56" s="4416" t="s">
        <v>2542</v>
      </c>
      <c r="C56" s="4406">
        <v>1</v>
      </c>
      <c r="D56" s="4406">
        <v>1</v>
      </c>
      <c r="E56" s="4406">
        <v>1</v>
      </c>
      <c r="F56" s="4406">
        <v>1</v>
      </c>
      <c r="G56" s="4406">
        <v>1</v>
      </c>
    </row>
    <row r="57" spans="1:7">
      <c r="A57" s="4404">
        <v>8</v>
      </c>
      <c r="B57" s="4416" t="s">
        <v>2543</v>
      </c>
      <c r="C57" s="4406">
        <v>1</v>
      </c>
      <c r="D57" s="4406">
        <v>1</v>
      </c>
      <c r="E57" s="4406">
        <v>1</v>
      </c>
      <c r="F57" s="4406">
        <v>1</v>
      </c>
      <c r="G57" s="4406">
        <v>1</v>
      </c>
    </row>
    <row r="58" spans="1:7">
      <c r="A58" s="4404">
        <v>9</v>
      </c>
      <c r="B58" s="4416" t="s">
        <v>2544</v>
      </c>
      <c r="C58" s="4406">
        <v>1</v>
      </c>
      <c r="D58" s="4406">
        <v>1</v>
      </c>
      <c r="E58" s="4406">
        <v>1</v>
      </c>
      <c r="F58" s="4406">
        <v>1</v>
      </c>
      <c r="G58" s="4406">
        <v>1</v>
      </c>
    </row>
    <row r="59" spans="1:7">
      <c r="A59" s="4404">
        <v>10</v>
      </c>
      <c r="B59" s="4416" t="s">
        <v>2545</v>
      </c>
      <c r="C59" s="4406">
        <v>1</v>
      </c>
      <c r="D59" s="4406">
        <v>1</v>
      </c>
      <c r="E59" s="4406">
        <v>1</v>
      </c>
      <c r="F59" s="4406">
        <v>1</v>
      </c>
      <c r="G59" s="4406">
        <v>1</v>
      </c>
    </row>
    <row r="60" spans="1:7">
      <c r="A60" s="4404">
        <v>11</v>
      </c>
      <c r="B60" s="4416" t="s">
        <v>2546</v>
      </c>
      <c r="C60" s="4406">
        <v>1</v>
      </c>
      <c r="D60" s="4406">
        <v>1</v>
      </c>
      <c r="E60" s="4406">
        <v>1</v>
      </c>
      <c r="F60" s="4406">
        <v>1</v>
      </c>
      <c r="G60" s="4406">
        <v>1</v>
      </c>
    </row>
    <row r="61" spans="1:7">
      <c r="A61" s="4404">
        <v>12</v>
      </c>
      <c r="B61" s="4416" t="s">
        <v>2547</v>
      </c>
      <c r="C61" s="4406">
        <v>1</v>
      </c>
      <c r="D61" s="4406">
        <v>1</v>
      </c>
      <c r="E61" s="4406">
        <v>1</v>
      </c>
      <c r="F61" s="4406">
        <v>1</v>
      </c>
      <c r="G61" s="4406">
        <v>1</v>
      </c>
    </row>
    <row r="62" spans="1:7">
      <c r="A62" s="4404">
        <v>13</v>
      </c>
      <c r="B62" s="4416" t="s">
        <v>2548</v>
      </c>
      <c r="C62" s="4406">
        <v>1</v>
      </c>
      <c r="D62" s="4406">
        <v>1</v>
      </c>
      <c r="E62" s="4406">
        <v>1</v>
      </c>
      <c r="F62" s="4406">
        <v>1</v>
      </c>
      <c r="G62" s="4406">
        <v>1</v>
      </c>
    </row>
    <row r="63" spans="1:7">
      <c r="A63" s="4407" t="s">
        <v>744</v>
      </c>
      <c r="B63" s="4417" t="s">
        <v>2549</v>
      </c>
      <c r="C63" s="4406"/>
      <c r="D63" s="4406"/>
      <c r="E63" s="4406"/>
      <c r="F63" s="4406"/>
      <c r="G63" s="4406"/>
    </row>
    <row r="64" spans="1:7" ht="15.75" customHeight="1">
      <c r="A64" s="4418">
        <v>1</v>
      </c>
      <c r="B64" s="4419" t="s">
        <v>2550</v>
      </c>
      <c r="C64" s="6622" t="s">
        <v>2551</v>
      </c>
      <c r="D64" s="6623"/>
      <c r="E64" s="6623"/>
      <c r="F64" s="6623"/>
      <c r="G64" s="4412">
        <v>1</v>
      </c>
    </row>
    <row r="65" spans="1:7">
      <c r="A65" s="4418">
        <v>2</v>
      </c>
      <c r="B65" s="4419" t="s">
        <v>2552</v>
      </c>
      <c r="C65" s="6623"/>
      <c r="D65" s="6623"/>
      <c r="E65" s="6623"/>
      <c r="F65" s="6623"/>
      <c r="G65" s="4412">
        <v>1</v>
      </c>
    </row>
    <row r="66" spans="1:7">
      <c r="A66" s="4418">
        <v>3</v>
      </c>
      <c r="B66" s="4419" t="s">
        <v>2553</v>
      </c>
      <c r="C66" s="6623"/>
      <c r="D66" s="6623"/>
      <c r="E66" s="6623"/>
      <c r="F66" s="6623"/>
      <c r="G66" s="4412">
        <v>1</v>
      </c>
    </row>
    <row r="67" spans="1:7">
      <c r="A67" s="4418">
        <v>4</v>
      </c>
      <c r="B67" s="4419" t="s">
        <v>2554</v>
      </c>
      <c r="C67" s="6623"/>
      <c r="D67" s="6623"/>
      <c r="E67" s="6623"/>
      <c r="F67" s="6623"/>
      <c r="G67" s="4412">
        <v>1</v>
      </c>
    </row>
    <row r="68" spans="1:7">
      <c r="A68" s="4418">
        <v>5</v>
      </c>
      <c r="B68" s="4419" t="s">
        <v>2555</v>
      </c>
      <c r="C68" s="6623"/>
      <c r="D68" s="6623"/>
      <c r="E68" s="6623"/>
      <c r="F68" s="6623"/>
      <c r="G68" s="4412">
        <v>1</v>
      </c>
    </row>
    <row r="69" spans="1:7">
      <c r="A69" s="4418">
        <v>6</v>
      </c>
      <c r="B69" s="4419" t="s">
        <v>2556</v>
      </c>
      <c r="C69" s="6623"/>
      <c r="D69" s="6623"/>
      <c r="E69" s="6623"/>
      <c r="F69" s="6623"/>
      <c r="G69" s="4412">
        <v>1</v>
      </c>
    </row>
    <row r="70" spans="1:7">
      <c r="A70" s="4418">
        <v>7</v>
      </c>
      <c r="B70" s="4419" t="s">
        <v>2557</v>
      </c>
      <c r="C70" s="6623"/>
      <c r="D70" s="6623"/>
      <c r="E70" s="6623"/>
      <c r="F70" s="6623"/>
      <c r="G70" s="4412">
        <v>1</v>
      </c>
    </row>
    <row r="71" spans="1:7">
      <c r="A71" s="4418">
        <v>8</v>
      </c>
      <c r="B71" s="4419" t="s">
        <v>2558</v>
      </c>
      <c r="C71" s="6623"/>
      <c r="D71" s="6623"/>
      <c r="E71" s="6623"/>
      <c r="F71" s="6623"/>
      <c r="G71" s="4412">
        <v>1</v>
      </c>
    </row>
    <row r="72" spans="1:7">
      <c r="A72" s="4404">
        <v>9</v>
      </c>
      <c r="B72" s="4416" t="s">
        <v>2559</v>
      </c>
      <c r="C72" s="4406">
        <v>1</v>
      </c>
      <c r="D72" s="4406">
        <v>1</v>
      </c>
      <c r="E72" s="4406">
        <v>1</v>
      </c>
      <c r="F72" s="4406">
        <v>1</v>
      </c>
      <c r="G72" s="4406">
        <v>1</v>
      </c>
    </row>
    <row r="73" spans="1:7">
      <c r="A73" s="4404">
        <v>10</v>
      </c>
      <c r="B73" s="4416" t="s">
        <v>2560</v>
      </c>
      <c r="C73" s="4406">
        <v>1</v>
      </c>
      <c r="D73" s="4406">
        <v>1</v>
      </c>
      <c r="E73" s="4406">
        <v>1</v>
      </c>
      <c r="F73" s="4406">
        <v>1</v>
      </c>
      <c r="G73" s="4406">
        <v>1</v>
      </c>
    </row>
    <row r="74" spans="1:7">
      <c r="A74" s="4404">
        <v>11</v>
      </c>
      <c r="B74" s="4416" t="s">
        <v>2561</v>
      </c>
      <c r="C74" s="4406">
        <v>1</v>
      </c>
      <c r="D74" s="4406">
        <v>1</v>
      </c>
      <c r="E74" s="4406">
        <v>1</v>
      </c>
      <c r="F74" s="4406">
        <v>1</v>
      </c>
      <c r="G74" s="4406">
        <v>1</v>
      </c>
    </row>
    <row r="75" spans="1:7">
      <c r="A75" s="4404">
        <v>12</v>
      </c>
      <c r="B75" s="4416" t="s">
        <v>2562</v>
      </c>
      <c r="C75" s="4406">
        <v>1</v>
      </c>
      <c r="D75" s="4406">
        <v>1</v>
      </c>
      <c r="E75" s="4406">
        <v>1</v>
      </c>
      <c r="F75" s="4406">
        <v>1</v>
      </c>
      <c r="G75" s="4406">
        <v>1</v>
      </c>
    </row>
    <row r="76" spans="1:7">
      <c r="A76" s="4404">
        <v>13</v>
      </c>
      <c r="B76" s="4416" t="s">
        <v>2563</v>
      </c>
      <c r="C76" s="4406">
        <v>1</v>
      </c>
      <c r="D76" s="4406">
        <v>1</v>
      </c>
      <c r="E76" s="4406">
        <v>1</v>
      </c>
      <c r="F76" s="4406">
        <v>1</v>
      </c>
      <c r="G76" s="4406">
        <v>1</v>
      </c>
    </row>
    <row r="77" spans="1:7">
      <c r="A77" s="4404">
        <v>14</v>
      </c>
      <c r="B77" s="4416" t="s">
        <v>2564</v>
      </c>
      <c r="C77" s="4406">
        <v>1</v>
      </c>
      <c r="D77" s="4406">
        <v>1</v>
      </c>
      <c r="E77" s="4406">
        <v>1</v>
      </c>
      <c r="F77" s="4406">
        <v>1</v>
      </c>
      <c r="G77" s="4406">
        <v>1</v>
      </c>
    </row>
    <row r="78" spans="1:7">
      <c r="A78" s="4404">
        <v>15</v>
      </c>
      <c r="B78" s="4416" t="s">
        <v>2565</v>
      </c>
      <c r="C78" s="4406">
        <v>1</v>
      </c>
      <c r="D78" s="4406">
        <v>1</v>
      </c>
      <c r="E78" s="4406">
        <v>1</v>
      </c>
      <c r="F78" s="4406">
        <v>1</v>
      </c>
      <c r="G78" s="4406">
        <v>1</v>
      </c>
    </row>
    <row r="79" spans="1:7">
      <c r="A79" s="4407" t="s">
        <v>745</v>
      </c>
      <c r="B79" s="4417" t="s">
        <v>2566</v>
      </c>
      <c r="C79" s="4406"/>
      <c r="D79" s="4406"/>
      <c r="E79" s="4406"/>
      <c r="F79" s="4406"/>
      <c r="G79" s="4406"/>
    </row>
    <row r="80" spans="1:7">
      <c r="A80" s="4404">
        <v>1</v>
      </c>
      <c r="B80" s="4416" t="s">
        <v>2567</v>
      </c>
      <c r="C80" s="4406">
        <v>1</v>
      </c>
      <c r="D80" s="4406">
        <v>1</v>
      </c>
      <c r="E80" s="4406">
        <v>1</v>
      </c>
      <c r="F80" s="4406">
        <v>1</v>
      </c>
      <c r="G80" s="4406">
        <v>1</v>
      </c>
    </row>
    <row r="81" spans="1:7">
      <c r="A81" s="4404">
        <v>2</v>
      </c>
      <c r="B81" s="4416" t="s">
        <v>2568</v>
      </c>
      <c r="C81" s="4406">
        <v>1</v>
      </c>
      <c r="D81" s="4406">
        <v>1</v>
      </c>
      <c r="E81" s="4406">
        <v>1</v>
      </c>
      <c r="F81" s="4406">
        <v>1</v>
      </c>
      <c r="G81" s="4406">
        <v>1</v>
      </c>
    </row>
    <row r="82" spans="1:7">
      <c r="A82" s="4404">
        <v>3</v>
      </c>
      <c r="B82" s="4416" t="s">
        <v>2569</v>
      </c>
      <c r="C82" s="4406">
        <v>1</v>
      </c>
      <c r="D82" s="4406">
        <v>1</v>
      </c>
      <c r="E82" s="4406">
        <v>1</v>
      </c>
      <c r="F82" s="4406">
        <v>1</v>
      </c>
      <c r="G82" s="4406">
        <v>1</v>
      </c>
    </row>
    <row r="83" spans="1:7">
      <c r="A83" s="4404">
        <v>4</v>
      </c>
      <c r="B83" s="4416" t="s">
        <v>2570</v>
      </c>
      <c r="C83" s="4406">
        <v>1</v>
      </c>
      <c r="D83" s="4406">
        <v>1</v>
      </c>
      <c r="E83" s="4406">
        <v>1</v>
      </c>
      <c r="F83" s="4406">
        <v>1</v>
      </c>
      <c r="G83" s="4406">
        <v>1</v>
      </c>
    </row>
    <row r="84" spans="1:7">
      <c r="A84" s="4404">
        <v>5</v>
      </c>
      <c r="B84" s="4416" t="s">
        <v>2571</v>
      </c>
      <c r="C84" s="4406">
        <v>1</v>
      </c>
      <c r="D84" s="4406">
        <v>1</v>
      </c>
      <c r="E84" s="4406">
        <v>1</v>
      </c>
      <c r="F84" s="4406">
        <v>1</v>
      </c>
      <c r="G84" s="4406">
        <v>1</v>
      </c>
    </row>
    <row r="85" spans="1:7">
      <c r="A85" s="4404">
        <v>6</v>
      </c>
      <c r="B85" s="4416" t="s">
        <v>2572</v>
      </c>
      <c r="C85" s="4406">
        <v>1</v>
      </c>
      <c r="D85" s="4406">
        <v>1</v>
      </c>
      <c r="E85" s="4406">
        <v>1</v>
      </c>
      <c r="F85" s="4406">
        <v>1</v>
      </c>
      <c r="G85" s="4406">
        <v>1</v>
      </c>
    </row>
    <row r="86" spans="1:7">
      <c r="A86" s="4404">
        <v>7</v>
      </c>
      <c r="B86" s="4416" t="s">
        <v>2573</v>
      </c>
      <c r="C86" s="4406">
        <v>1</v>
      </c>
      <c r="D86" s="4406">
        <v>1</v>
      </c>
      <c r="E86" s="4406">
        <v>1</v>
      </c>
      <c r="F86" s="4406">
        <v>1</v>
      </c>
      <c r="G86" s="4406">
        <v>1</v>
      </c>
    </row>
    <row r="87" spans="1:7">
      <c r="A87" s="4404">
        <v>8</v>
      </c>
      <c r="B87" s="4416" t="s">
        <v>2574</v>
      </c>
      <c r="C87" s="4406">
        <v>1</v>
      </c>
      <c r="D87" s="4406">
        <v>1</v>
      </c>
      <c r="E87" s="4406">
        <v>1</v>
      </c>
      <c r="F87" s="4406">
        <v>1</v>
      </c>
      <c r="G87" s="4406">
        <v>1</v>
      </c>
    </row>
    <row r="88" spans="1:7">
      <c r="A88" s="4404">
        <v>9</v>
      </c>
      <c r="B88" s="4416" t="s">
        <v>2575</v>
      </c>
      <c r="C88" s="4406">
        <v>1</v>
      </c>
      <c r="D88" s="4406">
        <v>1</v>
      </c>
      <c r="E88" s="4406">
        <v>1</v>
      </c>
      <c r="F88" s="4406">
        <v>1</v>
      </c>
      <c r="G88" s="4406">
        <v>1</v>
      </c>
    </row>
    <row r="89" spans="1:7">
      <c r="A89" s="4404">
        <v>10</v>
      </c>
      <c r="B89" s="4416" t="s">
        <v>2576</v>
      </c>
      <c r="C89" s="4406">
        <v>1</v>
      </c>
      <c r="D89" s="4406">
        <v>1</v>
      </c>
      <c r="E89" s="4406">
        <v>1</v>
      </c>
      <c r="F89" s="4406">
        <v>1</v>
      </c>
      <c r="G89" s="4406">
        <v>1</v>
      </c>
    </row>
    <row r="90" spans="1:7">
      <c r="A90" s="4404">
        <v>11</v>
      </c>
      <c r="B90" s="4416" t="s">
        <v>2577</v>
      </c>
      <c r="C90" s="4406">
        <v>1</v>
      </c>
      <c r="D90" s="4406">
        <v>1</v>
      </c>
      <c r="E90" s="4406">
        <v>1</v>
      </c>
      <c r="F90" s="4406">
        <v>1</v>
      </c>
      <c r="G90" s="4406">
        <v>1</v>
      </c>
    </row>
    <row r="91" spans="1:7">
      <c r="A91" s="4404">
        <v>12</v>
      </c>
      <c r="B91" s="4416" t="s">
        <v>2578</v>
      </c>
      <c r="C91" s="4406">
        <v>1</v>
      </c>
      <c r="D91" s="4406">
        <v>1</v>
      </c>
      <c r="E91" s="4406">
        <v>1</v>
      </c>
      <c r="F91" s="4406">
        <v>1</v>
      </c>
      <c r="G91" s="4406">
        <v>1</v>
      </c>
    </row>
    <row r="92" spans="1:7">
      <c r="A92" s="4404">
        <v>13</v>
      </c>
      <c r="B92" s="4416" t="s">
        <v>2579</v>
      </c>
      <c r="C92" s="4406">
        <v>1</v>
      </c>
      <c r="D92" s="4406">
        <v>1</v>
      </c>
      <c r="E92" s="4406">
        <v>1</v>
      </c>
      <c r="F92" s="4406">
        <v>1</v>
      </c>
      <c r="G92" s="4406">
        <v>1</v>
      </c>
    </row>
    <row r="93" spans="1:7">
      <c r="A93" s="4404">
        <v>14</v>
      </c>
      <c r="B93" s="4416" t="s">
        <v>2580</v>
      </c>
      <c r="C93" s="4406">
        <v>1</v>
      </c>
      <c r="D93" s="4406">
        <v>1</v>
      </c>
      <c r="E93" s="4406">
        <v>1</v>
      </c>
      <c r="F93" s="4406">
        <v>1</v>
      </c>
      <c r="G93" s="4406">
        <v>1</v>
      </c>
    </row>
    <row r="94" spans="1:7">
      <c r="A94" s="4404">
        <v>15</v>
      </c>
      <c r="B94" s="4416" t="s">
        <v>2581</v>
      </c>
      <c r="C94" s="4406">
        <v>1</v>
      </c>
      <c r="D94" s="4406">
        <v>1</v>
      </c>
      <c r="E94" s="4406">
        <v>1</v>
      </c>
      <c r="F94" s="4406">
        <v>1</v>
      </c>
      <c r="G94" s="4406">
        <v>1</v>
      </c>
    </row>
    <row r="95" spans="1:7">
      <c r="A95" s="4404">
        <v>16</v>
      </c>
      <c r="B95" s="4416" t="s">
        <v>2582</v>
      </c>
      <c r="C95" s="4406">
        <v>1</v>
      </c>
      <c r="D95" s="4406">
        <v>1</v>
      </c>
      <c r="E95" s="4406">
        <v>1</v>
      </c>
      <c r="F95" s="4406">
        <v>1</v>
      </c>
      <c r="G95" s="4406">
        <v>1</v>
      </c>
    </row>
    <row r="96" spans="1:7">
      <c r="A96" s="4404">
        <v>17</v>
      </c>
      <c r="B96" s="4416" t="s">
        <v>2512</v>
      </c>
      <c r="C96" s="4406">
        <v>1</v>
      </c>
      <c r="D96" s="4406">
        <v>1</v>
      </c>
      <c r="E96" s="4406">
        <v>1</v>
      </c>
      <c r="F96" s="4406">
        <v>1</v>
      </c>
      <c r="G96" s="4406">
        <v>1</v>
      </c>
    </row>
    <row r="97" spans="1:7">
      <c r="A97" s="4404">
        <v>18</v>
      </c>
      <c r="B97" s="4416" t="s">
        <v>2583</v>
      </c>
      <c r="C97" s="4406">
        <v>1</v>
      </c>
      <c r="D97" s="4406">
        <v>1</v>
      </c>
      <c r="E97" s="4406">
        <v>1</v>
      </c>
      <c r="F97" s="4406">
        <v>1</v>
      </c>
      <c r="G97" s="4406">
        <v>1</v>
      </c>
    </row>
    <row r="98" spans="1:7">
      <c r="A98" s="4407" t="s">
        <v>1716</v>
      </c>
      <c r="B98" s="4417" t="s">
        <v>1142</v>
      </c>
      <c r="C98" s="4416"/>
      <c r="D98" s="4416"/>
      <c r="E98" s="4416"/>
      <c r="F98" s="4416"/>
      <c r="G98" s="4416"/>
    </row>
    <row r="99" spans="1:7">
      <c r="A99" s="4404">
        <v>1</v>
      </c>
      <c r="B99" s="4416" t="s">
        <v>2584</v>
      </c>
      <c r="C99" s="4406">
        <v>1</v>
      </c>
      <c r="D99" s="4406">
        <v>1</v>
      </c>
      <c r="E99" s="4406">
        <v>1</v>
      </c>
      <c r="F99" s="4406">
        <v>1</v>
      </c>
      <c r="G99" s="4406">
        <v>1</v>
      </c>
    </row>
    <row r="100" spans="1:7">
      <c r="A100" s="4404">
        <v>2</v>
      </c>
      <c r="B100" s="4416" t="s">
        <v>2585</v>
      </c>
      <c r="C100" s="4406">
        <v>1</v>
      </c>
      <c r="D100" s="4406">
        <v>1</v>
      </c>
      <c r="E100" s="4406">
        <v>1</v>
      </c>
      <c r="F100" s="4406">
        <v>1</v>
      </c>
      <c r="G100" s="4406">
        <v>1</v>
      </c>
    </row>
    <row r="101" spans="1:7">
      <c r="A101" s="4404">
        <v>3</v>
      </c>
      <c r="B101" s="4416" t="s">
        <v>2586</v>
      </c>
      <c r="C101" s="4406">
        <v>1</v>
      </c>
      <c r="D101" s="4406">
        <v>1</v>
      </c>
      <c r="E101" s="4406">
        <v>1</v>
      </c>
      <c r="F101" s="4406">
        <v>1</v>
      </c>
      <c r="G101" s="4406">
        <v>1</v>
      </c>
    </row>
    <row r="102" spans="1:7">
      <c r="A102" s="4404">
        <v>4</v>
      </c>
      <c r="B102" s="4416" t="s">
        <v>2587</v>
      </c>
      <c r="C102" s="4406">
        <v>1</v>
      </c>
      <c r="D102" s="4406">
        <v>1</v>
      </c>
      <c r="E102" s="4406">
        <v>1</v>
      </c>
      <c r="F102" s="4406">
        <v>1</v>
      </c>
      <c r="G102" s="4406">
        <v>1</v>
      </c>
    </row>
    <row r="103" spans="1:7">
      <c r="A103" s="4404">
        <v>5</v>
      </c>
      <c r="B103" s="4416" t="s">
        <v>2588</v>
      </c>
      <c r="C103" s="4406">
        <v>1</v>
      </c>
      <c r="D103" s="4406">
        <v>1</v>
      </c>
      <c r="E103" s="4406">
        <v>1</v>
      </c>
      <c r="F103" s="4406">
        <v>1</v>
      </c>
      <c r="G103" s="4406">
        <v>1</v>
      </c>
    </row>
    <row r="104" spans="1:7">
      <c r="A104" s="4404">
        <v>6</v>
      </c>
      <c r="B104" s="4416" t="s">
        <v>2589</v>
      </c>
      <c r="C104" s="4406">
        <v>1</v>
      </c>
      <c r="D104" s="4406">
        <v>1</v>
      </c>
      <c r="E104" s="4406">
        <v>1</v>
      </c>
      <c r="F104" s="4406">
        <v>1</v>
      </c>
      <c r="G104" s="4406">
        <v>1</v>
      </c>
    </row>
    <row r="105" spans="1:7">
      <c r="A105" s="4404">
        <v>7</v>
      </c>
      <c r="B105" s="4416" t="s">
        <v>2590</v>
      </c>
      <c r="C105" s="4406">
        <v>1</v>
      </c>
      <c r="D105" s="4406">
        <v>1</v>
      </c>
      <c r="E105" s="4406">
        <v>1</v>
      </c>
      <c r="F105" s="4406">
        <v>1</v>
      </c>
      <c r="G105" s="4406">
        <v>1</v>
      </c>
    </row>
    <row r="106" spans="1:7">
      <c r="A106" s="4404">
        <v>8</v>
      </c>
      <c r="B106" s="4416" t="s">
        <v>2591</v>
      </c>
      <c r="C106" s="4406">
        <v>1</v>
      </c>
      <c r="D106" s="4406">
        <v>1</v>
      </c>
      <c r="E106" s="4406">
        <v>1</v>
      </c>
      <c r="F106" s="4406">
        <v>1</v>
      </c>
      <c r="G106" s="4406">
        <v>1</v>
      </c>
    </row>
    <row r="107" spans="1:7">
      <c r="A107" s="4404">
        <v>9</v>
      </c>
      <c r="B107" s="4416" t="s">
        <v>2592</v>
      </c>
      <c r="C107" s="4406">
        <v>1</v>
      </c>
      <c r="D107" s="4406">
        <v>1</v>
      </c>
      <c r="E107" s="4406">
        <v>1</v>
      </c>
      <c r="F107" s="4406">
        <v>1</v>
      </c>
      <c r="G107" s="4406">
        <v>1</v>
      </c>
    </row>
    <row r="108" spans="1:7">
      <c r="A108" s="4404">
        <v>10</v>
      </c>
      <c r="B108" s="4416" t="s">
        <v>2593</v>
      </c>
      <c r="C108" s="4406">
        <v>1</v>
      </c>
      <c r="D108" s="4406">
        <v>1</v>
      </c>
      <c r="E108" s="4406">
        <v>1</v>
      </c>
      <c r="F108" s="4406">
        <v>1</v>
      </c>
      <c r="G108" s="4406">
        <v>1</v>
      </c>
    </row>
    <row r="109" spans="1:7">
      <c r="A109" s="4404">
        <v>11</v>
      </c>
      <c r="B109" s="4416" t="s">
        <v>2594</v>
      </c>
      <c r="C109" s="4406">
        <v>1</v>
      </c>
      <c r="D109" s="4406">
        <v>1</v>
      </c>
      <c r="E109" s="4406">
        <v>1</v>
      </c>
      <c r="F109" s="4406">
        <v>1</v>
      </c>
      <c r="G109" s="4406">
        <v>1</v>
      </c>
    </row>
    <row r="110" spans="1:7">
      <c r="A110" s="4404">
        <v>12</v>
      </c>
      <c r="B110" s="4416" t="s">
        <v>2595</v>
      </c>
      <c r="C110" s="4406">
        <v>1</v>
      </c>
      <c r="D110" s="4406">
        <v>1</v>
      </c>
      <c r="E110" s="4406">
        <v>1</v>
      </c>
      <c r="F110" s="4406">
        <v>1</v>
      </c>
      <c r="G110" s="4406">
        <v>1</v>
      </c>
    </row>
    <row r="111" spans="1:7">
      <c r="A111" s="4404">
        <v>13</v>
      </c>
      <c r="B111" s="4416" t="s">
        <v>2596</v>
      </c>
      <c r="C111" s="4406">
        <v>1</v>
      </c>
      <c r="D111" s="4406">
        <v>1</v>
      </c>
      <c r="E111" s="4406">
        <v>1</v>
      </c>
      <c r="F111" s="4406">
        <v>1</v>
      </c>
      <c r="G111" s="4406">
        <v>1</v>
      </c>
    </row>
    <row r="112" spans="1:7">
      <c r="A112" s="4407" t="s">
        <v>2597</v>
      </c>
      <c r="B112" s="4417" t="s">
        <v>1143</v>
      </c>
      <c r="C112" s="4416"/>
      <c r="D112" s="4416"/>
      <c r="E112" s="4416"/>
      <c r="F112" s="4416"/>
      <c r="G112" s="4416"/>
    </row>
    <row r="113" spans="1:7">
      <c r="A113" s="4404">
        <v>1</v>
      </c>
      <c r="B113" s="4416" t="s">
        <v>2598</v>
      </c>
      <c r="C113" s="4406">
        <v>1</v>
      </c>
      <c r="D113" s="4406">
        <v>1</v>
      </c>
      <c r="E113" s="4406">
        <v>1</v>
      </c>
      <c r="F113" s="4406">
        <v>1</v>
      </c>
      <c r="G113" s="4406">
        <v>1</v>
      </c>
    </row>
    <row r="114" spans="1:7">
      <c r="A114" s="4404">
        <v>2</v>
      </c>
      <c r="B114" s="4416" t="s">
        <v>2537</v>
      </c>
      <c r="C114" s="4406">
        <v>1</v>
      </c>
      <c r="D114" s="4406">
        <v>1</v>
      </c>
      <c r="E114" s="4406">
        <v>1</v>
      </c>
      <c r="F114" s="4406">
        <v>1</v>
      </c>
      <c r="G114" s="4406">
        <v>1</v>
      </c>
    </row>
    <row r="115" spans="1:7">
      <c r="A115" s="4404">
        <v>3</v>
      </c>
      <c r="B115" s="4416" t="s">
        <v>2599</v>
      </c>
      <c r="C115" s="4406">
        <v>1</v>
      </c>
      <c r="D115" s="4406">
        <v>1</v>
      </c>
      <c r="E115" s="4406">
        <v>1</v>
      </c>
      <c r="F115" s="4406">
        <v>1</v>
      </c>
      <c r="G115" s="4406">
        <v>1</v>
      </c>
    </row>
    <row r="116" spans="1:7">
      <c r="A116" s="4404">
        <v>4</v>
      </c>
      <c r="B116" s="4416" t="s">
        <v>2600</v>
      </c>
      <c r="C116" s="4406">
        <v>1</v>
      </c>
      <c r="D116" s="4406">
        <v>1</v>
      </c>
      <c r="E116" s="4406">
        <v>1</v>
      </c>
      <c r="F116" s="4406">
        <v>1</v>
      </c>
      <c r="G116" s="4406">
        <v>1</v>
      </c>
    </row>
    <row r="117" spans="1:7">
      <c r="A117" s="4404">
        <v>5</v>
      </c>
      <c r="B117" s="4416" t="s">
        <v>2601</v>
      </c>
      <c r="C117" s="4406">
        <v>1</v>
      </c>
      <c r="D117" s="4406">
        <v>1</v>
      </c>
      <c r="E117" s="4406">
        <v>1</v>
      </c>
      <c r="F117" s="4406">
        <v>1</v>
      </c>
      <c r="G117" s="4406">
        <v>1</v>
      </c>
    </row>
    <row r="118" spans="1:7">
      <c r="A118" s="4404">
        <v>6</v>
      </c>
      <c r="B118" s="4416" t="s">
        <v>2602</v>
      </c>
      <c r="C118" s="4406">
        <v>1</v>
      </c>
      <c r="D118" s="4406">
        <v>1</v>
      </c>
      <c r="E118" s="4406">
        <v>1</v>
      </c>
      <c r="F118" s="4406">
        <v>1</v>
      </c>
      <c r="G118" s="4406">
        <v>1</v>
      </c>
    </row>
    <row r="119" spans="1:7">
      <c r="A119" s="4404">
        <v>7</v>
      </c>
      <c r="B119" s="4416" t="s">
        <v>2603</v>
      </c>
      <c r="C119" s="4406">
        <v>1</v>
      </c>
      <c r="D119" s="4406">
        <v>1</v>
      </c>
      <c r="E119" s="4406">
        <v>1</v>
      </c>
      <c r="F119" s="4406">
        <v>1</v>
      </c>
      <c r="G119" s="4406">
        <v>1</v>
      </c>
    </row>
    <row r="120" spans="1:7">
      <c r="A120" s="4404">
        <v>8</v>
      </c>
      <c r="B120" s="4416" t="s">
        <v>2604</v>
      </c>
      <c r="C120" s="4406">
        <v>1</v>
      </c>
      <c r="D120" s="4406">
        <v>1</v>
      </c>
      <c r="E120" s="4406">
        <v>1</v>
      </c>
      <c r="F120" s="4406">
        <v>1</v>
      </c>
      <c r="G120" s="4406">
        <v>1</v>
      </c>
    </row>
    <row r="121" spans="1:7">
      <c r="A121" s="4404">
        <v>9</v>
      </c>
      <c r="B121" s="4416" t="s">
        <v>2605</v>
      </c>
      <c r="C121" s="4406">
        <v>1</v>
      </c>
      <c r="D121" s="4406">
        <v>1</v>
      </c>
      <c r="E121" s="4406">
        <v>1</v>
      </c>
      <c r="F121" s="4406">
        <v>1</v>
      </c>
      <c r="G121" s="4406">
        <v>1</v>
      </c>
    </row>
    <row r="122" spans="1:7">
      <c r="A122" s="4404">
        <v>10</v>
      </c>
      <c r="B122" s="4416" t="s">
        <v>2606</v>
      </c>
      <c r="C122" s="4406">
        <v>1</v>
      </c>
      <c r="D122" s="4406">
        <v>1</v>
      </c>
      <c r="E122" s="4406">
        <v>1</v>
      </c>
      <c r="F122" s="4406">
        <v>1</v>
      </c>
      <c r="G122" s="4406">
        <v>1</v>
      </c>
    </row>
    <row r="123" spans="1:7">
      <c r="A123" s="4404">
        <v>11</v>
      </c>
      <c r="B123" s="4416" t="s">
        <v>2607</v>
      </c>
      <c r="C123" s="4406">
        <v>1</v>
      </c>
      <c r="D123" s="4406">
        <v>1</v>
      </c>
      <c r="E123" s="4406">
        <v>1</v>
      </c>
      <c r="F123" s="4406">
        <v>1</v>
      </c>
      <c r="G123" s="4406">
        <v>1</v>
      </c>
    </row>
    <row r="124" spans="1:7">
      <c r="A124" s="4404">
        <v>12</v>
      </c>
      <c r="B124" s="4416" t="s">
        <v>2608</v>
      </c>
      <c r="C124" s="4406">
        <v>1</v>
      </c>
      <c r="D124" s="4406">
        <v>1</v>
      </c>
      <c r="E124" s="4406">
        <v>1</v>
      </c>
      <c r="F124" s="4406">
        <v>1</v>
      </c>
      <c r="G124" s="4406">
        <v>1</v>
      </c>
    </row>
    <row r="125" spans="1:7">
      <c r="A125" s="4404">
        <v>13</v>
      </c>
      <c r="B125" s="4416" t="s">
        <v>2609</v>
      </c>
      <c r="C125" s="4406">
        <v>1</v>
      </c>
      <c r="D125" s="4406">
        <v>1</v>
      </c>
      <c r="E125" s="4406">
        <v>1</v>
      </c>
      <c r="F125" s="4406">
        <v>1</v>
      </c>
      <c r="G125" s="4406">
        <v>1</v>
      </c>
    </row>
    <row r="126" spans="1:7">
      <c r="A126" s="4407" t="s">
        <v>2610</v>
      </c>
      <c r="B126" s="4417" t="s">
        <v>2611</v>
      </c>
      <c r="C126" s="4416"/>
      <c r="D126" s="4416"/>
      <c r="E126" s="4416"/>
      <c r="F126" s="4416"/>
      <c r="G126" s="4416"/>
    </row>
    <row r="127" spans="1:7">
      <c r="A127" s="4404">
        <v>1</v>
      </c>
      <c r="B127" s="4416" t="s">
        <v>2612</v>
      </c>
      <c r="C127" s="4406">
        <v>1</v>
      </c>
      <c r="D127" s="4406">
        <v>1</v>
      </c>
      <c r="E127" s="4406">
        <v>1</v>
      </c>
      <c r="F127" s="4406">
        <v>1</v>
      </c>
      <c r="G127" s="4406">
        <v>1</v>
      </c>
    </row>
    <row r="128" spans="1:7">
      <c r="A128" s="4404">
        <v>2</v>
      </c>
      <c r="B128" s="4416" t="s">
        <v>2613</v>
      </c>
      <c r="C128" s="4406">
        <v>1</v>
      </c>
      <c r="D128" s="4406">
        <v>1</v>
      </c>
      <c r="E128" s="4406">
        <v>1</v>
      </c>
      <c r="F128" s="4406">
        <v>1</v>
      </c>
      <c r="G128" s="4406">
        <v>1</v>
      </c>
    </row>
    <row r="129" spans="1:7">
      <c r="A129" s="4404">
        <v>3</v>
      </c>
      <c r="B129" s="4416" t="s">
        <v>2614</v>
      </c>
      <c r="C129" s="4406">
        <v>1</v>
      </c>
      <c r="D129" s="4406">
        <v>1</v>
      </c>
      <c r="E129" s="4406">
        <v>1</v>
      </c>
      <c r="F129" s="4406">
        <v>1</v>
      </c>
      <c r="G129" s="4406">
        <v>1</v>
      </c>
    </row>
    <row r="130" spans="1:7">
      <c r="A130" s="4404">
        <v>4</v>
      </c>
      <c r="B130" s="4416" t="s">
        <v>2520</v>
      </c>
      <c r="C130" s="4406">
        <v>1</v>
      </c>
      <c r="D130" s="4406">
        <v>1</v>
      </c>
      <c r="E130" s="4406">
        <v>1</v>
      </c>
      <c r="F130" s="4406">
        <v>1</v>
      </c>
      <c r="G130" s="4406">
        <v>1</v>
      </c>
    </row>
    <row r="131" spans="1:7">
      <c r="A131" s="4404">
        <v>5</v>
      </c>
      <c r="B131" s="4416" t="s">
        <v>2615</v>
      </c>
      <c r="C131" s="4406">
        <v>1</v>
      </c>
      <c r="D131" s="4406">
        <v>1</v>
      </c>
      <c r="E131" s="4406">
        <v>1</v>
      </c>
      <c r="F131" s="4406">
        <v>1</v>
      </c>
      <c r="G131" s="4406">
        <v>1</v>
      </c>
    </row>
    <row r="132" spans="1:7">
      <c r="A132" s="4404">
        <v>6</v>
      </c>
      <c r="B132" s="4416" t="s">
        <v>2616</v>
      </c>
      <c r="C132" s="4406">
        <v>1</v>
      </c>
      <c r="D132" s="4406">
        <v>1</v>
      </c>
      <c r="E132" s="4406">
        <v>1</v>
      </c>
      <c r="F132" s="4406">
        <v>1</v>
      </c>
      <c r="G132" s="4406">
        <v>1</v>
      </c>
    </row>
    <row r="133" spans="1:7">
      <c r="A133" s="4404">
        <v>7</v>
      </c>
      <c r="B133" s="4416" t="s">
        <v>2617</v>
      </c>
      <c r="C133" s="4406">
        <v>1</v>
      </c>
      <c r="D133" s="4406">
        <v>1</v>
      </c>
      <c r="E133" s="4406">
        <v>1</v>
      </c>
      <c r="F133" s="4406">
        <v>1</v>
      </c>
      <c r="G133" s="4406">
        <v>1</v>
      </c>
    </row>
    <row r="134" spans="1:7">
      <c r="A134" s="4404">
        <v>8</v>
      </c>
      <c r="B134" s="4416" t="s">
        <v>2618</v>
      </c>
      <c r="C134" s="4406">
        <v>1</v>
      </c>
      <c r="D134" s="4406">
        <v>1</v>
      </c>
      <c r="E134" s="4406">
        <v>1</v>
      </c>
      <c r="F134" s="4406">
        <v>1</v>
      </c>
      <c r="G134" s="4406">
        <v>1</v>
      </c>
    </row>
    <row r="135" spans="1:7">
      <c r="A135" s="4404">
        <v>9</v>
      </c>
      <c r="B135" s="4416" t="s">
        <v>2619</v>
      </c>
      <c r="C135" s="4406">
        <v>1</v>
      </c>
      <c r="D135" s="4406">
        <v>1</v>
      </c>
      <c r="E135" s="4406">
        <v>1</v>
      </c>
      <c r="F135" s="4406">
        <v>1</v>
      </c>
      <c r="G135" s="4406">
        <v>1</v>
      </c>
    </row>
    <row r="136" spans="1:7">
      <c r="A136" s="4404">
        <v>10</v>
      </c>
      <c r="B136" s="4416" t="s">
        <v>2620</v>
      </c>
      <c r="C136" s="4406">
        <v>1</v>
      </c>
      <c r="D136" s="4406">
        <v>1</v>
      </c>
      <c r="E136" s="4406">
        <v>1</v>
      </c>
      <c r="F136" s="4406">
        <v>1</v>
      </c>
      <c r="G136" s="4406">
        <v>1</v>
      </c>
    </row>
    <row r="137" spans="1:7">
      <c r="A137" s="4404">
        <v>11</v>
      </c>
      <c r="B137" s="4416" t="s">
        <v>2621</v>
      </c>
      <c r="C137" s="4406">
        <v>1</v>
      </c>
      <c r="D137" s="4406">
        <v>1</v>
      </c>
      <c r="E137" s="4406">
        <v>1</v>
      </c>
      <c r="F137" s="4406">
        <v>1</v>
      </c>
      <c r="G137" s="4406">
        <v>1</v>
      </c>
    </row>
    <row r="138" spans="1:7">
      <c r="A138" s="4404">
        <v>12</v>
      </c>
      <c r="B138" s="4416" t="s">
        <v>2622</v>
      </c>
      <c r="C138" s="4406">
        <v>1</v>
      </c>
      <c r="D138" s="4406">
        <v>1</v>
      </c>
      <c r="E138" s="4406">
        <v>1</v>
      </c>
      <c r="F138" s="4406">
        <v>1</v>
      </c>
      <c r="G138" s="4406">
        <v>1</v>
      </c>
    </row>
    <row r="139" spans="1:7">
      <c r="A139" s="4407" t="s">
        <v>2623</v>
      </c>
      <c r="B139" s="4417" t="s">
        <v>1460</v>
      </c>
      <c r="C139" s="4416"/>
      <c r="D139" s="4416"/>
      <c r="E139" s="4416"/>
      <c r="F139" s="4416"/>
      <c r="G139" s="4416"/>
    </row>
    <row r="140" spans="1:7" ht="15.75" customHeight="1">
      <c r="A140" s="4418">
        <v>1</v>
      </c>
      <c r="B140" s="4419" t="s">
        <v>2550</v>
      </c>
      <c r="C140" s="6622" t="s">
        <v>2624</v>
      </c>
      <c r="D140" s="6623"/>
      <c r="E140" s="6623"/>
      <c r="F140" s="6623"/>
      <c r="G140" s="4412">
        <v>1</v>
      </c>
    </row>
    <row r="141" spans="1:7">
      <c r="A141" s="4418">
        <v>2</v>
      </c>
      <c r="B141" s="4419" t="s">
        <v>2552</v>
      </c>
      <c r="C141" s="6623"/>
      <c r="D141" s="6623"/>
      <c r="E141" s="6623"/>
      <c r="F141" s="6623"/>
      <c r="G141" s="4412">
        <v>1</v>
      </c>
    </row>
    <row r="142" spans="1:7">
      <c r="A142" s="4418">
        <v>3</v>
      </c>
      <c r="B142" s="4419" t="s">
        <v>2553</v>
      </c>
      <c r="C142" s="6623"/>
      <c r="D142" s="6623"/>
      <c r="E142" s="6623"/>
      <c r="F142" s="6623"/>
      <c r="G142" s="4412">
        <v>1</v>
      </c>
    </row>
    <row r="143" spans="1:7">
      <c r="A143" s="4418">
        <v>4</v>
      </c>
      <c r="B143" s="4419" t="s">
        <v>2554</v>
      </c>
      <c r="C143" s="6623"/>
      <c r="D143" s="6623"/>
      <c r="E143" s="6623"/>
      <c r="F143" s="6623"/>
      <c r="G143" s="4412">
        <v>1</v>
      </c>
    </row>
    <row r="144" spans="1:7">
      <c r="A144" s="4418">
        <v>5</v>
      </c>
      <c r="B144" s="4419" t="s">
        <v>2625</v>
      </c>
      <c r="C144" s="6623"/>
      <c r="D144" s="6623"/>
      <c r="E144" s="6623"/>
      <c r="F144" s="6623"/>
      <c r="G144" s="4412">
        <v>1</v>
      </c>
    </row>
    <row r="145" spans="1:7">
      <c r="A145" s="4420">
        <v>6</v>
      </c>
      <c r="B145" s="4421" t="s">
        <v>2626</v>
      </c>
      <c r="C145" s="6623"/>
      <c r="D145" s="6623"/>
      <c r="E145" s="6623"/>
      <c r="F145" s="6623"/>
      <c r="G145" s="4415">
        <v>1</v>
      </c>
    </row>
    <row r="146" spans="1:7">
      <c r="A146" s="4404">
        <v>7</v>
      </c>
      <c r="B146" s="4416" t="s">
        <v>2627</v>
      </c>
      <c r="C146" s="4406">
        <v>1</v>
      </c>
      <c r="D146" s="4406">
        <v>1</v>
      </c>
      <c r="E146" s="4406">
        <v>1</v>
      </c>
      <c r="F146" s="4406">
        <v>1</v>
      </c>
      <c r="G146" s="4406">
        <v>1</v>
      </c>
    </row>
    <row r="147" spans="1:7">
      <c r="A147" s="4404">
        <v>8</v>
      </c>
      <c r="B147" s="4416" t="s">
        <v>2628</v>
      </c>
      <c r="C147" s="4406">
        <v>1</v>
      </c>
      <c r="D147" s="4406">
        <v>1</v>
      </c>
      <c r="E147" s="4406">
        <v>1</v>
      </c>
      <c r="F147" s="4406">
        <v>1</v>
      </c>
      <c r="G147" s="4406">
        <v>1</v>
      </c>
    </row>
    <row r="148" spans="1:7">
      <c r="A148" s="4404">
        <v>9</v>
      </c>
      <c r="B148" s="4416" t="s">
        <v>2629</v>
      </c>
      <c r="C148" s="4406">
        <v>1</v>
      </c>
      <c r="D148" s="4406">
        <v>1</v>
      </c>
      <c r="E148" s="4406">
        <v>1</v>
      </c>
      <c r="F148" s="4406">
        <v>1</v>
      </c>
      <c r="G148" s="4406">
        <v>1</v>
      </c>
    </row>
    <row r="149" spans="1:7">
      <c r="A149" s="4407" t="s">
        <v>2630</v>
      </c>
      <c r="B149" s="4417" t="s">
        <v>2631</v>
      </c>
      <c r="C149" s="4416"/>
      <c r="D149" s="4416"/>
      <c r="E149" s="4416"/>
      <c r="F149" s="4416"/>
      <c r="G149" s="4416"/>
    </row>
    <row r="150" spans="1:7">
      <c r="A150" s="4404">
        <v>1</v>
      </c>
      <c r="B150" s="4416" t="s">
        <v>2632</v>
      </c>
      <c r="C150" s="4406">
        <v>1</v>
      </c>
      <c r="D150" s="4406">
        <v>1</v>
      </c>
      <c r="E150" s="4406">
        <v>1</v>
      </c>
      <c r="F150" s="4406">
        <v>1</v>
      </c>
      <c r="G150" s="4406">
        <v>1</v>
      </c>
    </row>
    <row r="151" spans="1:7">
      <c r="A151" s="4404">
        <v>2</v>
      </c>
      <c r="B151" s="4416" t="s">
        <v>2548</v>
      </c>
      <c r="C151" s="4406">
        <v>1</v>
      </c>
      <c r="D151" s="4406">
        <v>1</v>
      </c>
      <c r="E151" s="4406">
        <v>1</v>
      </c>
      <c r="F151" s="4406">
        <v>1</v>
      </c>
      <c r="G151" s="4406">
        <v>1</v>
      </c>
    </row>
    <row r="152" spans="1:7">
      <c r="A152" s="4404">
        <v>3</v>
      </c>
      <c r="B152" s="4416" t="s">
        <v>2633</v>
      </c>
      <c r="C152" s="4406">
        <v>1</v>
      </c>
      <c r="D152" s="4406">
        <v>1</v>
      </c>
      <c r="E152" s="4406">
        <v>1</v>
      </c>
      <c r="F152" s="4406">
        <v>1</v>
      </c>
      <c r="G152" s="4406">
        <v>1</v>
      </c>
    </row>
    <row r="153" spans="1:7">
      <c r="A153" s="4404">
        <v>4</v>
      </c>
      <c r="B153" s="4416" t="s">
        <v>2634</v>
      </c>
      <c r="C153" s="4406">
        <v>1</v>
      </c>
      <c r="D153" s="4406">
        <v>1</v>
      </c>
      <c r="E153" s="4406">
        <v>1</v>
      </c>
      <c r="F153" s="4406">
        <v>1</v>
      </c>
      <c r="G153" s="4406">
        <v>1</v>
      </c>
    </row>
    <row r="154" spans="1:7">
      <c r="A154" s="4404">
        <v>5</v>
      </c>
      <c r="B154" s="4416" t="s">
        <v>2635</v>
      </c>
      <c r="C154" s="4406">
        <v>1</v>
      </c>
      <c r="D154" s="4406">
        <v>1</v>
      </c>
      <c r="E154" s="4406">
        <v>1</v>
      </c>
      <c r="F154" s="4406">
        <v>1</v>
      </c>
      <c r="G154" s="4406">
        <v>1</v>
      </c>
    </row>
    <row r="155" spans="1:7">
      <c r="A155" s="4404">
        <v>6</v>
      </c>
      <c r="B155" s="4416" t="s">
        <v>2636</v>
      </c>
      <c r="C155" s="4406">
        <v>1</v>
      </c>
      <c r="D155" s="4406">
        <v>1</v>
      </c>
      <c r="E155" s="4406">
        <v>1</v>
      </c>
      <c r="F155" s="4406">
        <v>1</v>
      </c>
      <c r="G155" s="4406">
        <v>1</v>
      </c>
    </row>
    <row r="156" spans="1:7">
      <c r="A156" s="4404">
        <v>7</v>
      </c>
      <c r="B156" s="4416" t="s">
        <v>2637</v>
      </c>
      <c r="C156" s="4406">
        <v>1</v>
      </c>
      <c r="D156" s="4406">
        <v>1</v>
      </c>
      <c r="E156" s="4406">
        <v>1</v>
      </c>
      <c r="F156" s="4406">
        <v>1</v>
      </c>
      <c r="G156" s="4406">
        <v>1</v>
      </c>
    </row>
    <row r="157" spans="1:7">
      <c r="A157" s="4404">
        <v>8</v>
      </c>
      <c r="B157" s="4416" t="s">
        <v>2638</v>
      </c>
      <c r="C157" s="4406">
        <v>1</v>
      </c>
      <c r="D157" s="4406">
        <v>1</v>
      </c>
      <c r="E157" s="4406">
        <v>1</v>
      </c>
      <c r="F157" s="4406">
        <v>1</v>
      </c>
      <c r="G157" s="4406">
        <v>1</v>
      </c>
    </row>
    <row r="158" spans="1:7">
      <c r="A158" s="4404">
        <v>9</v>
      </c>
      <c r="B158" s="4416" t="s">
        <v>2639</v>
      </c>
      <c r="C158" s="4406">
        <v>1</v>
      </c>
      <c r="D158" s="4406">
        <v>1</v>
      </c>
      <c r="E158" s="4406">
        <v>1</v>
      </c>
      <c r="F158" s="4406">
        <v>1</v>
      </c>
      <c r="G158" s="4406">
        <v>1</v>
      </c>
    </row>
    <row r="159" spans="1:7">
      <c r="A159" s="4404">
        <v>10</v>
      </c>
      <c r="B159" s="4416" t="s">
        <v>2640</v>
      </c>
      <c r="C159" s="4406">
        <v>1</v>
      </c>
      <c r="D159" s="4406">
        <v>1</v>
      </c>
      <c r="E159" s="4406">
        <v>1</v>
      </c>
      <c r="F159" s="4406">
        <v>1</v>
      </c>
      <c r="G159" s="4406">
        <v>1</v>
      </c>
    </row>
    <row r="160" spans="1:7">
      <c r="A160" s="4404">
        <v>11</v>
      </c>
      <c r="B160" s="4416" t="s">
        <v>2641</v>
      </c>
      <c r="C160" s="4406">
        <v>1</v>
      </c>
      <c r="D160" s="4406">
        <v>1</v>
      </c>
      <c r="E160" s="4406">
        <v>1</v>
      </c>
      <c r="F160" s="4406">
        <v>1</v>
      </c>
      <c r="G160" s="4406">
        <v>1</v>
      </c>
    </row>
    <row r="161" spans="1:7">
      <c r="A161" s="4422">
        <v>12</v>
      </c>
      <c r="B161" s="4423" t="s">
        <v>2642</v>
      </c>
      <c r="C161" s="4424">
        <v>1</v>
      </c>
      <c r="D161" s="4424">
        <v>1</v>
      </c>
      <c r="E161" s="4424">
        <v>1</v>
      </c>
      <c r="F161" s="4424">
        <v>1</v>
      </c>
      <c r="G161" s="4424">
        <v>1</v>
      </c>
    </row>
    <row r="162" spans="1:7">
      <c r="B162" s="2423" t="s">
        <v>2643</v>
      </c>
      <c r="E162" s="6607"/>
      <c r="F162" s="6607"/>
      <c r="G162" s="6607"/>
    </row>
    <row r="163" spans="1:7">
      <c r="B163" s="1192" t="s">
        <v>2644</v>
      </c>
      <c r="E163" s="4425"/>
      <c r="F163" s="4425"/>
      <c r="G163" s="4425"/>
    </row>
    <row r="164" spans="1:7">
      <c r="B164" s="1192" t="s">
        <v>2645</v>
      </c>
      <c r="E164" s="6140"/>
      <c r="F164" s="6140"/>
      <c r="G164" s="6140"/>
    </row>
    <row r="165" spans="1:7">
      <c r="B165" s="1192" t="s">
        <v>2646</v>
      </c>
      <c r="E165" s="6140"/>
      <c r="F165" s="6140"/>
      <c r="G165" s="6140"/>
    </row>
    <row r="166" spans="1:7">
      <c r="B166" s="1192" t="s">
        <v>2647</v>
      </c>
    </row>
    <row r="167" spans="1:7">
      <c r="B167" s="1192" t="s">
        <v>2648</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11" t="s">
        <v>3269</v>
      </c>
      <c r="B1" s="6111"/>
      <c r="C1" s="6111"/>
      <c r="D1" s="6111"/>
      <c r="E1" s="6111"/>
      <c r="F1" s="6111"/>
    </row>
    <row r="2" spans="1:7" s="386" customFormat="1" ht="18.75" customHeight="1">
      <c r="A2" s="6512" t="str">
        <f>+'Phụ lục 9-CKNS'!A3:G3</f>
        <v>(Kèm theo Quyết định số       /QĐ-UBND-HC ngày     /12/2024 của Ủy ban nhân dân tỉnh Đồng Tháp)</v>
      </c>
      <c r="B2" s="6499"/>
      <c r="C2" s="6499"/>
      <c r="D2" s="6499"/>
      <c r="E2" s="6499"/>
      <c r="F2" s="6499"/>
    </row>
    <row r="3" spans="1:7">
      <c r="B3" s="6043"/>
      <c r="C3" s="6043"/>
      <c r="D3" s="6043"/>
      <c r="E3" s="6043"/>
    </row>
    <row r="5" spans="1:7" s="588" customFormat="1" ht="19.5" customHeight="1">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5" t="str">
        <f>'[28]Phụ lục 2-HĐND'!B20</f>
        <v>Chi đầu tư xây dựng cơ bản</v>
      </c>
      <c r="C8" s="6625"/>
      <c r="D8" s="6625"/>
      <c r="E8" s="2805">
        <f>+'Phụ lục 5-KQPB'!E8</f>
        <v>966890</v>
      </c>
      <c r="F8" s="381" t="s">
        <v>432</v>
      </c>
    </row>
    <row r="9" spans="1:7" s="386" customFormat="1">
      <c r="A9" s="583">
        <v>2</v>
      </c>
      <c r="B9" s="6625" t="str">
        <f>'[28]Phụ lục 2-HĐND'!B21</f>
        <v>Chi đầu tư từ nguồn thu tiền sử dụng đất</v>
      </c>
      <c r="C9" s="6625"/>
      <c r="D9" s="6625"/>
      <c r="E9" s="2805">
        <f>+'Phụ lục 5-KQPB'!E9</f>
        <v>1600000</v>
      </c>
      <c r="F9" s="381" t="s">
        <v>432</v>
      </c>
    </row>
    <row r="10" spans="1:7" s="386" customFormat="1">
      <c r="A10" s="583">
        <v>3</v>
      </c>
      <c r="B10" s="6625" t="str">
        <f>'[28]Phụ lục 2-HĐND'!B22</f>
        <v>Chi đầu tư từ nguồn thu xổ số kiến thiết</v>
      </c>
      <c r="C10" s="6625"/>
      <c r="D10" s="6625"/>
      <c r="E10" s="2805">
        <f>+'Phụ lục 5-KQPB'!E10</f>
        <v>2100000</v>
      </c>
      <c r="F10" s="381" t="s">
        <v>432</v>
      </c>
    </row>
    <row r="11" spans="1:7" s="386" customFormat="1">
      <c r="A11" s="641"/>
      <c r="B11" s="2806" t="s">
        <v>234</v>
      </c>
      <c r="D11" s="2804"/>
      <c r="F11" s="381"/>
    </row>
    <row r="12" spans="1:7" s="873" customFormat="1">
      <c r="A12" s="680"/>
      <c r="B12" s="2807" t="s">
        <v>1734</v>
      </c>
      <c r="D12" s="2808"/>
      <c r="E12" s="2809">
        <f>+'Phụ lục 5-KQPB'!E12</f>
        <v>812200</v>
      </c>
      <c r="F12" s="873" t="s">
        <v>432</v>
      </c>
      <c r="G12" s="2810"/>
    </row>
    <row r="13" spans="1:7" s="873" customFormat="1">
      <c r="A13" s="680"/>
      <c r="B13" s="2807" t="s">
        <v>1735</v>
      </c>
      <c r="D13" s="2808"/>
      <c r="E13" s="2809">
        <f>+'Phụ lục 5-KQPB'!E13</f>
        <v>130000</v>
      </c>
      <c r="F13" s="873" t="s">
        <v>432</v>
      </c>
      <c r="G13" s="2811"/>
    </row>
    <row r="14" spans="1:7" s="617" customFormat="1">
      <c r="A14" s="2510">
        <v>4</v>
      </c>
      <c r="B14" s="6626" t="str">
        <f>'[28]Phụ lục 2-HĐND'!B23</f>
        <v>Chi đầu tư từ nguồn thu cổ phần hóa, thoái vốn doanh nghiệp nhà nước địa phương quản lý;…</v>
      </c>
      <c r="C14" s="6626"/>
      <c r="D14" s="6626"/>
      <c r="E14" s="2812">
        <f>+'Phụ lục 5-KQPB'!E14</f>
        <v>0</v>
      </c>
      <c r="F14" s="596" t="s">
        <v>432</v>
      </c>
      <c r="G14" s="2813"/>
    </row>
    <row r="15" spans="1:7" s="617" customFormat="1">
      <c r="A15" s="2510">
        <v>5</v>
      </c>
      <c r="B15" s="6626" t="str">
        <f>'[28]Phụ lục 2-HĐND'!B24</f>
        <v>Chi đầu tư phát triển khác (Ủy thác qua NH Chính sách xã hội chi nhánh tỉnh Đồng Tháp)</v>
      </c>
      <c r="C15" s="6626"/>
      <c r="D15" s="6626"/>
      <c r="E15" s="2812">
        <f>+'Phụ lục 5-KQPB'!E15</f>
        <v>0</v>
      </c>
      <c r="F15" s="596" t="s">
        <v>432</v>
      </c>
      <c r="G15" s="2813"/>
    </row>
    <row r="16" spans="1:7" s="386" customFormat="1" ht="17.399999999999999">
      <c r="A16" s="2800" t="s">
        <v>37</v>
      </c>
      <c r="B16" s="588" t="s">
        <v>1736</v>
      </c>
      <c r="F16" s="660"/>
    </row>
    <row r="17" spans="1:9" ht="18.600000000000001" thickBot="1">
      <c r="E17" s="6577" t="s">
        <v>638</v>
      </c>
      <c r="F17" s="6577"/>
    </row>
    <row r="18" spans="1:9" s="386" customFormat="1" thickTop="1">
      <c r="A18" s="6563" t="s">
        <v>136</v>
      </c>
      <c r="B18" s="6521" t="s">
        <v>248</v>
      </c>
      <c r="C18" s="6521" t="s">
        <v>3270</v>
      </c>
      <c r="D18" s="6521" t="s">
        <v>408</v>
      </c>
      <c r="E18" s="6521"/>
      <c r="F18" s="6578" t="s">
        <v>861</v>
      </c>
    </row>
    <row r="19" spans="1:9" s="386" customFormat="1" ht="34.799999999999997">
      <c r="A19" s="6564"/>
      <c r="B19" s="6046"/>
      <c r="C19" s="6046"/>
      <c r="D19" s="430" t="s">
        <v>1737</v>
      </c>
      <c r="E19" s="430" t="s">
        <v>1738</v>
      </c>
      <c r="F19" s="6624"/>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6" customFormat="1" ht="17.399999999999999">
      <c r="A25" s="2818">
        <v>2</v>
      </c>
      <c r="B25" s="2819" t="s">
        <v>1742</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1743</v>
      </c>
      <c r="C27" s="2829">
        <f>+'Phụ lục 5-KQPB'!C27</f>
        <v>165900</v>
      </c>
      <c r="D27" s="2824">
        <v>0</v>
      </c>
      <c r="E27" s="2829">
        <f>+'Phụ lục 5-KQPB'!E25</f>
        <v>165900</v>
      </c>
      <c r="F27" s="2830" t="s">
        <v>1744</v>
      </c>
      <c r="H27" s="2420"/>
      <c r="I27" s="2831">
        <v>225040</v>
      </c>
    </row>
    <row r="28" spans="1:9">
      <c r="A28" s="2822" t="s">
        <v>1745</v>
      </c>
      <c r="B28" s="2823" t="s">
        <v>1746</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+'Phụ lục 5-KQPB'!C31</f>
        <v>88300</v>
      </c>
      <c r="D31" s="2827">
        <f>'[28]Phụ lục số 1'!AH60</f>
        <v>0</v>
      </c>
      <c r="E31" s="2827">
        <f>+'Phụ lục 5-KQPB'!E31</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6">
      <c r="A33" s="2822"/>
      <c r="B33" s="2823" t="s">
        <v>234</v>
      </c>
      <c r="C33" s="2824"/>
      <c r="D33" s="2824"/>
      <c r="E33" s="2824"/>
      <c r="F33" s="2825"/>
    </row>
    <row r="34" spans="1:6" ht="36">
      <c r="A34" s="2822"/>
      <c r="B34" s="2826" t="s">
        <v>1741</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075" t="s">
        <v>136</v>
      </c>
      <c r="B3" s="6294" t="s">
        <v>137</v>
      </c>
      <c r="C3" s="6295" t="s">
        <v>1654</v>
      </c>
      <c r="D3" s="6295"/>
      <c r="E3" s="6295"/>
      <c r="F3" s="6295" t="s">
        <v>1655</v>
      </c>
      <c r="G3" s="6295"/>
      <c r="H3" s="6295"/>
      <c r="I3" s="6295" t="s">
        <v>1656</v>
      </c>
      <c r="J3" s="6295"/>
      <c r="K3" s="6295"/>
    </row>
    <row r="4" spans="1:11" s="1638" customFormat="1" ht="17.399999999999999">
      <c r="A4" s="6075"/>
      <c r="B4" s="6294"/>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576"/>
      <c r="B1" s="6576"/>
      <c r="C1" s="6576"/>
    </row>
    <row r="2" spans="1:13" hidden="1">
      <c r="A2" s="386"/>
      <c r="B2" s="386"/>
      <c r="C2" s="386"/>
    </row>
    <row r="3" spans="1:13">
      <c r="A3" s="6111" t="s">
        <v>3134</v>
      </c>
      <c r="B3" s="6047"/>
      <c r="C3" s="6047"/>
    </row>
    <row r="4" spans="1:13">
      <c r="A4" s="6500" t="str">
        <f>+'Phụ lục số 2'!A3:Q3</f>
        <v>(Kèm theo Báo cáo số     462/BC-UBND ngày 22 tháng 11 năm 2024 của Ủy ban nhân dân tỉnh Đồng Tháp)</v>
      </c>
      <c r="B4" s="6500"/>
      <c r="C4" s="6500"/>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41" t="s">
        <v>1</v>
      </c>
      <c r="B8" s="5842" t="s">
        <v>1674</v>
      </c>
      <c r="C8" s="5837">
        <f>SUM(C9,C12,C17,C16)</f>
        <v>16886294.195999999</v>
      </c>
      <c r="D8" s="5104"/>
      <c r="E8" s="5104"/>
      <c r="F8" s="5104"/>
      <c r="G8" s="5104"/>
      <c r="H8" s="5104"/>
      <c r="I8" s="5104"/>
      <c r="J8" s="5104"/>
      <c r="L8" s="5104"/>
      <c r="M8" s="5104"/>
    </row>
    <row r="9" spans="1:13" s="2923" customFormat="1" ht="17.399999999999999">
      <c r="A9" s="606" t="s">
        <v>3</v>
      </c>
      <c r="B9" s="2627" t="s">
        <v>1675</v>
      </c>
      <c r="C9" s="2638">
        <f>+'Phụ lục số 1'!U10</f>
        <v>4983218.7960000001</v>
      </c>
      <c r="K9" s="5104"/>
    </row>
    <row r="10" spans="1:13" s="1649" customFormat="1">
      <c r="A10" s="614">
        <v>1</v>
      </c>
      <c r="B10" s="2625" t="s">
        <v>1676</v>
      </c>
      <c r="C10" s="2640">
        <f>C9-C11</f>
        <v>2887618.7960000001</v>
      </c>
      <c r="K10" s="5843"/>
    </row>
    <row r="11" spans="1:13" s="1649" customFormat="1">
      <c r="A11" s="614">
        <v>2</v>
      </c>
      <c r="B11" s="1924" t="s">
        <v>833</v>
      </c>
      <c r="C11" s="2640">
        <f>+'Phụ lục số 1'!U77</f>
        <v>2095600</v>
      </c>
      <c r="K11" s="5287"/>
      <c r="L11" s="5287"/>
      <c r="M11" s="5287"/>
    </row>
    <row r="12" spans="1:13" s="2923" customFormat="1" ht="17.399999999999999">
      <c r="A12" s="606" t="s">
        <v>33</v>
      </c>
      <c r="B12" s="2627" t="s">
        <v>1677</v>
      </c>
      <c r="C12" s="2638">
        <f>SUM(C13:C15)</f>
        <v>11903075</v>
      </c>
      <c r="D12" s="5104"/>
      <c r="E12" s="5104"/>
      <c r="F12" s="5104"/>
      <c r="G12" s="5104"/>
      <c r="H12" s="5104"/>
      <c r="I12" s="5104"/>
      <c r="J12" s="5104"/>
      <c r="K12" s="5104"/>
    </row>
    <row r="13" spans="1:13" s="47" customFormat="1">
      <c r="A13" s="603">
        <v>1</v>
      </c>
      <c r="B13" s="297" t="s">
        <v>205</v>
      </c>
      <c r="C13" s="4785">
        <f>+'Phụ lục số 1'!U58</f>
        <v>6749488</v>
      </c>
      <c r="K13" s="320"/>
    </row>
    <row r="14" spans="1:13" s="47" customFormat="1">
      <c r="A14" s="603">
        <v>2</v>
      </c>
      <c r="B14" s="297" t="s">
        <v>3133</v>
      </c>
      <c r="C14" s="4785">
        <f>+'Phụ lục số 1'!U60</f>
        <v>2116595</v>
      </c>
      <c r="L14" s="679">
        <f>+C14+C13+C9</f>
        <v>13849301.796</v>
      </c>
      <c r="M14" s="5844">
        <f>+L14-L19</f>
        <v>-67685.400000000373</v>
      </c>
    </row>
    <row r="15" spans="1:13" s="47" customFormat="1">
      <c r="A15" s="603">
        <v>3</v>
      </c>
      <c r="B15" s="297" t="s">
        <v>41</v>
      </c>
      <c r="C15" s="4785">
        <f>+'Phụ lục số 1'!U61</f>
        <v>3036992</v>
      </c>
      <c r="K15" s="320"/>
      <c r="L15" s="679">
        <f>+C20+C32+C48+C49+C50</f>
        <v>6833081.4930000007</v>
      </c>
    </row>
    <row r="16" spans="1:13" s="5845" customFormat="1">
      <c r="A16" s="606" t="s">
        <v>182</v>
      </c>
      <c r="B16" s="2627" t="s">
        <v>1531</v>
      </c>
      <c r="C16" s="2638">
        <f>+'Phụ lục số 1'!U71</f>
        <v>0.40000000001455194</v>
      </c>
      <c r="L16" s="5846">
        <f>+L15+C63+C67</f>
        <v>13916987.196</v>
      </c>
      <c r="M16" s="5846">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1678</v>
      </c>
      <c r="C18" s="2628">
        <f>SUM(C19,C52,C62,C63,C67)</f>
        <v>16699594.196</v>
      </c>
      <c r="D18" s="5104"/>
      <c r="E18" s="5104"/>
      <c r="F18" s="5104"/>
      <c r="G18" s="5104">
        <f>+C18/1000</f>
        <v>16699.594196000002</v>
      </c>
      <c r="H18" s="5104"/>
      <c r="I18" s="5104"/>
      <c r="J18" s="5104"/>
      <c r="K18" s="5104"/>
      <c r="L18" s="5847">
        <f>+C8-C18</f>
        <v>186699.99999999814</v>
      </c>
      <c r="M18" s="5104">
        <f>+C18-'Phụ lục số 3-CĐC'!J33</f>
        <v>0</v>
      </c>
      <c r="N18" s="5104">
        <f>+C18-'Phụ lục số 2'!P8</f>
        <v>7078351.9069999997</v>
      </c>
      <c r="P18" s="5104"/>
    </row>
    <row r="19" spans="1:16" s="5850" customFormat="1" ht="16.2" customHeight="1">
      <c r="A19" s="2707" t="s">
        <v>3</v>
      </c>
      <c r="B19" s="2708" t="s">
        <v>1679</v>
      </c>
      <c r="C19" s="2647">
        <f>SUM(C20,C32,C48,C49,C50,C51)</f>
        <v>6833081.4930000007</v>
      </c>
      <c r="D19" s="5848"/>
      <c r="E19" s="5848"/>
      <c r="F19" s="5848"/>
      <c r="G19" s="5848"/>
      <c r="H19" s="5848"/>
      <c r="I19" s="5848"/>
      <c r="J19" s="5848"/>
      <c r="K19" s="5848">
        <f>+C8-C18</f>
        <v>186699.99999999814</v>
      </c>
      <c r="L19" s="5849">
        <f>+C20+C32+C48+C49+C50+C63+C67</f>
        <v>13916987.196</v>
      </c>
      <c r="N19" s="5848">
        <f>+C63</f>
        <v>7078351.9069999997</v>
      </c>
    </row>
    <row r="20" spans="1:16" s="5850" customFormat="1" ht="16.2" customHeight="1">
      <c r="A20" s="5368">
        <v>1</v>
      </c>
      <c r="B20" s="2699" t="s">
        <v>1680</v>
      </c>
      <c r="C20" s="2647">
        <f>+C21+C22+C24</f>
        <v>2983390</v>
      </c>
      <c r="D20" s="5848"/>
      <c r="E20" s="5848"/>
      <c r="F20" s="5848"/>
      <c r="G20" s="5848"/>
      <c r="H20" s="5848"/>
      <c r="I20" s="5848"/>
      <c r="J20" s="5848"/>
      <c r="K20" s="5848"/>
      <c r="L20" s="5849">
        <f>+C52</f>
        <v>2782607</v>
      </c>
    </row>
    <row r="21" spans="1:16" s="5851"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52">
        <f>+L19+L20</f>
        <v>16699594.196</v>
      </c>
    </row>
    <row r="22" spans="1:16" s="5851"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53">
        <f>+C18-L21</f>
        <v>0</v>
      </c>
    </row>
    <row r="23" spans="1:16" s="5856" customFormat="1" ht="62.25" customHeight="1">
      <c r="A23" s="2758"/>
      <c r="B23" s="585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54"/>
      <c r="E23" s="5854"/>
      <c r="F23" s="5854"/>
      <c r="G23" s="5854"/>
      <c r="H23" s="5854"/>
      <c r="I23" s="5854"/>
      <c r="J23" s="5854"/>
      <c r="K23" s="2734">
        <f>+C8-C68</f>
        <v>16699594.195999999</v>
      </c>
      <c r="L23" s="5855">
        <f>+C14+C13+C9</f>
        <v>13849301.796</v>
      </c>
    </row>
    <row r="24" spans="1:16" s="5851"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57">
        <f>+L23-L19</f>
        <v>-67685.400000000373</v>
      </c>
    </row>
    <row r="25" spans="1:16" s="5856" customFormat="1" ht="30" customHeight="1">
      <c r="A25" s="2758"/>
      <c r="B25" s="5859" t="str">
        <f>+'Phụ lục số 2'!B15</f>
        <v>Trong đó: Ủy thác qua Ngân hàng Chính sách xã hội chi nhánh tỉnh Đồng Tháp (từ nguồn thu sổ số kiến thiết năm 2025)</v>
      </c>
      <c r="C25" s="2653">
        <f>+'Phụ lục số 2'!P15</f>
        <v>100000</v>
      </c>
      <c r="D25" s="5854"/>
      <c r="E25" s="5854"/>
      <c r="F25" s="5854"/>
      <c r="G25" s="5854"/>
      <c r="H25" s="5854"/>
      <c r="I25" s="5854"/>
      <c r="J25" s="5854"/>
      <c r="L25" s="5858">
        <f>-L24</f>
        <v>67685.400000000373</v>
      </c>
    </row>
    <row r="26" spans="1:16" s="5856" customFormat="1" ht="16.2" hidden="1" customHeight="1">
      <c r="A26" s="614" t="s">
        <v>148</v>
      </c>
      <c r="B26" s="1893" t="str">
        <f>+'Phụ lục số 2'!B16</f>
        <v>Chi đầu tư từ nguồn thu thoái vốn doanh nghiệp nhà nước địa phương quản lý;…</v>
      </c>
      <c r="C26" s="2653">
        <f>+'Phụ lục số 2'!P16</f>
        <v>0</v>
      </c>
      <c r="D26" s="5854"/>
      <c r="E26" s="5854"/>
      <c r="F26" s="5854"/>
      <c r="G26" s="5854"/>
      <c r="H26" s="5854"/>
      <c r="I26" s="5854"/>
      <c r="J26" s="5854"/>
    </row>
    <row r="27" spans="1:16" s="5851"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56" customFormat="1" ht="16.2" hidden="1" customHeight="1">
      <c r="A28" s="614" t="s">
        <v>3126</v>
      </c>
      <c r="B28" s="5859" t="str">
        <f>+'Phụ lục số 2'!B18</f>
        <v>Ủy thác qua Ngân hàng Chính sách xã hội chi nhánh tỉnh Đồng Tháp (từ nguồn thu sổ số kiến thiết năm 2025)</v>
      </c>
      <c r="C28" s="2653">
        <f>+'Phụ lục số 2'!P18</f>
        <v>0</v>
      </c>
      <c r="D28" s="5854"/>
      <c r="E28" s="5854"/>
      <c r="F28" s="5854"/>
      <c r="G28" s="5854"/>
      <c r="H28" s="5854"/>
      <c r="I28" s="5854"/>
      <c r="J28" s="5854"/>
    </row>
    <row r="29" spans="1:16" s="5856" customFormat="1" ht="16.2" hidden="1" customHeight="1">
      <c r="A29" s="614" t="s">
        <v>3127</v>
      </c>
      <c r="B29" s="585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54"/>
      <c r="E29" s="5854"/>
      <c r="F29" s="5854"/>
      <c r="G29" s="5854"/>
      <c r="H29" s="5854"/>
      <c r="I29" s="5854"/>
      <c r="J29" s="5854"/>
    </row>
    <row r="30" spans="1:16" s="5856" customFormat="1" ht="16.2" hidden="1" customHeight="1">
      <c r="A30" s="614"/>
      <c r="B30" s="5859">
        <f>+'Phụ lục số 2'!B20</f>
        <v>0</v>
      </c>
      <c r="C30" s="2653"/>
      <c r="D30" s="5854"/>
      <c r="E30" s="5854"/>
      <c r="F30" s="5854"/>
      <c r="G30" s="5854"/>
      <c r="H30" s="5854"/>
      <c r="I30" s="5854"/>
      <c r="J30" s="5854"/>
    </row>
    <row r="31" spans="1:16" s="5856" customFormat="1" ht="16.2" hidden="1" customHeight="1">
      <c r="A31" s="614"/>
      <c r="B31" s="5859">
        <f>+'Phụ lục số 2'!B21</f>
        <v>0</v>
      </c>
      <c r="C31" s="2653"/>
      <c r="D31" s="5854"/>
      <c r="E31" s="5854"/>
      <c r="F31" s="5854"/>
      <c r="G31" s="5854"/>
      <c r="H31" s="5854"/>
      <c r="I31" s="5854"/>
      <c r="J31" s="5854"/>
    </row>
    <row r="32" spans="1:16" s="5850" customFormat="1" ht="16.2" customHeight="1">
      <c r="A32" s="5368">
        <v>2</v>
      </c>
      <c r="B32" s="2699" t="s">
        <v>209</v>
      </c>
      <c r="C32" s="2647">
        <f>SUM(C33,C34,C35,C39:C47)</f>
        <v>3680232.0929999999</v>
      </c>
      <c r="D32" s="5848"/>
      <c r="E32" s="5848"/>
      <c r="F32" s="5848"/>
      <c r="G32" s="5848"/>
      <c r="H32" s="5848"/>
      <c r="I32" s="5848"/>
      <c r="J32" s="5848"/>
      <c r="K32" s="5860"/>
    </row>
    <row r="33" spans="1:16" s="5851" customFormat="1" ht="16.2" customHeight="1">
      <c r="A33" s="2756" t="s">
        <v>204</v>
      </c>
      <c r="B33" s="4600" t="s">
        <v>152</v>
      </c>
      <c r="C33" s="2661">
        <f>+'Phụ lục số 2'!P23</f>
        <v>1106650</v>
      </c>
      <c r="D33" s="2734"/>
      <c r="E33" s="2734"/>
      <c r="F33" s="2734"/>
      <c r="G33" s="2734"/>
      <c r="H33" s="2734"/>
      <c r="I33" s="2734"/>
      <c r="J33" s="2734"/>
    </row>
    <row r="34" spans="1:16" s="5851" customFormat="1" ht="16.2" customHeight="1">
      <c r="A34" s="2756" t="s">
        <v>206</v>
      </c>
      <c r="B34" s="4600" t="s">
        <v>153</v>
      </c>
      <c r="C34" s="2661">
        <f>+'Phụ lục số 2'!P24</f>
        <v>31307</v>
      </c>
      <c r="D34" s="2734"/>
      <c r="E34" s="2734"/>
      <c r="F34" s="2734"/>
      <c r="G34" s="2734"/>
      <c r="H34" s="2734"/>
      <c r="I34" s="2734"/>
      <c r="J34" s="2734"/>
    </row>
    <row r="35" spans="1:16" s="5851" customFormat="1" ht="16.2" customHeight="1">
      <c r="A35" s="2756" t="s">
        <v>237</v>
      </c>
      <c r="B35" s="46" t="s">
        <v>1691</v>
      </c>
      <c r="C35" s="2661">
        <f>+'Phụ lục số 2'!P25</f>
        <v>150000</v>
      </c>
      <c r="D35" s="2734"/>
      <c r="E35" s="2734"/>
      <c r="F35" s="2734"/>
      <c r="G35" s="2734"/>
      <c r="H35" s="2734"/>
      <c r="I35" s="2734"/>
      <c r="J35" s="2734"/>
    </row>
    <row r="36" spans="1:16" s="5856" customFormat="1" ht="16.2" customHeight="1">
      <c r="A36" s="2758" t="s">
        <v>99</v>
      </c>
      <c r="B36" s="193" t="s">
        <v>1692</v>
      </c>
      <c r="C36" s="2653">
        <f>+'Phụ lục số 5'!S60</f>
        <v>51000</v>
      </c>
      <c r="D36" s="5854"/>
      <c r="E36" s="5854"/>
      <c r="F36" s="5854"/>
      <c r="G36" s="5854"/>
      <c r="H36" s="5854"/>
      <c r="I36" s="5854"/>
      <c r="J36" s="5854"/>
    </row>
    <row r="37" spans="1:16" s="5856" customFormat="1" ht="16.2" customHeight="1">
      <c r="A37" s="2758" t="s">
        <v>101</v>
      </c>
      <c r="B37" s="193" t="s">
        <v>1693</v>
      </c>
      <c r="C37" s="2653">
        <f>+'Phụ lục số 5'!S61</f>
        <v>82500</v>
      </c>
      <c r="D37" s="5854"/>
      <c r="E37" s="5854"/>
      <c r="F37" s="5854"/>
      <c r="G37" s="5854"/>
      <c r="H37" s="5854"/>
      <c r="I37" s="5854"/>
      <c r="J37" s="5854"/>
    </row>
    <row r="38" spans="1:16" s="5856" customFormat="1" ht="16.2" customHeight="1">
      <c r="A38" s="2758" t="s">
        <v>147</v>
      </c>
      <c r="B38" s="193" t="s">
        <v>1694</v>
      </c>
      <c r="C38" s="2653">
        <f>+'Phụ lục số 5'!S62</f>
        <v>16500</v>
      </c>
      <c r="D38" s="5854"/>
      <c r="E38" s="5854"/>
      <c r="F38" s="5854"/>
      <c r="G38" s="5854"/>
      <c r="H38" s="5854"/>
      <c r="I38" s="5854"/>
      <c r="J38" s="5854"/>
    </row>
    <row r="39" spans="1:16" s="5856" customFormat="1" ht="16.2" customHeight="1">
      <c r="A39" s="2756" t="s">
        <v>1069</v>
      </c>
      <c r="B39" s="5011" t="s">
        <v>156</v>
      </c>
      <c r="C39" s="2661">
        <f>+'Phụ lục số 2'!P27</f>
        <v>997261</v>
      </c>
      <c r="D39" s="5854"/>
      <c r="E39" s="5854"/>
      <c r="F39" s="5854"/>
      <c r="G39" s="5854"/>
      <c r="H39" s="5854"/>
      <c r="I39" s="5854"/>
      <c r="J39" s="5854"/>
    </row>
    <row r="40" spans="1:16" s="5856" customFormat="1">
      <c r="A40" s="2756" t="s">
        <v>1071</v>
      </c>
      <c r="B40" s="5011" t="s">
        <v>158</v>
      </c>
      <c r="C40" s="2661">
        <f>+'Phụ lục số 2'!P28</f>
        <v>55631</v>
      </c>
      <c r="D40" s="5854"/>
      <c r="E40" s="5854"/>
      <c r="F40" s="5854"/>
      <c r="G40" s="5854"/>
      <c r="H40" s="5854"/>
      <c r="I40" s="5854"/>
      <c r="J40" s="5854"/>
      <c r="N40" s="5861"/>
      <c r="P40" s="5861"/>
    </row>
    <row r="41" spans="1:16" s="5856" customFormat="1">
      <c r="A41" s="2756" t="s">
        <v>1073</v>
      </c>
      <c r="B41" s="5011" t="s">
        <v>160</v>
      </c>
      <c r="C41" s="2661">
        <f>+'Phụ lục số 2'!P29</f>
        <v>32394</v>
      </c>
      <c r="D41" s="5854"/>
      <c r="E41" s="5854"/>
      <c r="F41" s="5854"/>
      <c r="G41" s="5854"/>
      <c r="H41" s="5854"/>
      <c r="I41" s="5854"/>
      <c r="J41" s="5854"/>
      <c r="N41" s="5861"/>
      <c r="P41" s="5861"/>
    </row>
    <row r="42" spans="1:16" s="5856" customFormat="1">
      <c r="A42" s="2756" t="s">
        <v>1079</v>
      </c>
      <c r="B42" s="5011" t="s">
        <v>162</v>
      </c>
      <c r="C42" s="2661">
        <f>+'Phụ lục số 2'!P30</f>
        <v>23615</v>
      </c>
      <c r="D42" s="5854"/>
      <c r="E42" s="5854"/>
      <c r="F42" s="5854"/>
      <c r="G42" s="5854"/>
      <c r="H42" s="5854"/>
      <c r="I42" s="5854"/>
      <c r="J42" s="5854"/>
      <c r="N42" s="5861"/>
      <c r="P42" s="5861"/>
    </row>
    <row r="43" spans="1:16" s="5851" customFormat="1">
      <c r="A43" s="2756" t="s">
        <v>1081</v>
      </c>
      <c r="B43" s="5011" t="s">
        <v>164</v>
      </c>
      <c r="C43" s="2661">
        <f>+'Phụ lục số 2'!P31</f>
        <v>88389</v>
      </c>
      <c r="D43" s="2734"/>
      <c r="E43" s="2734"/>
      <c r="F43" s="2734"/>
      <c r="G43" s="2734"/>
      <c r="H43" s="2734"/>
      <c r="I43" s="2734"/>
      <c r="J43" s="2734"/>
      <c r="P43" s="5862"/>
    </row>
    <row r="44" spans="1:16" s="5851" customFormat="1">
      <c r="A44" s="2756" t="s">
        <v>1083</v>
      </c>
      <c r="B44" s="5011" t="s">
        <v>166</v>
      </c>
      <c r="C44" s="2661">
        <f>+'Phụ lục số 2'!P32</f>
        <v>396140.49299999996</v>
      </c>
      <c r="D44" s="2734"/>
      <c r="E44" s="2734"/>
      <c r="F44" s="2734"/>
      <c r="G44" s="2734"/>
      <c r="H44" s="2734"/>
      <c r="I44" s="2734"/>
      <c r="J44" s="2734"/>
    </row>
    <row r="45" spans="1:16" s="5856" customFormat="1">
      <c r="A45" s="2756" t="s">
        <v>3130</v>
      </c>
      <c r="B45" s="5011" t="s">
        <v>168</v>
      </c>
      <c r="C45" s="2661">
        <f>+'Phụ lục số 2'!P33</f>
        <v>708771.5</v>
      </c>
      <c r="D45" s="5854"/>
      <c r="E45" s="5854"/>
      <c r="F45" s="5854"/>
      <c r="G45" s="5854"/>
      <c r="H45" s="5854"/>
      <c r="I45" s="5854"/>
      <c r="J45" s="5854"/>
    </row>
    <row r="46" spans="1:16" s="5856" customFormat="1">
      <c r="A46" s="2756" t="s">
        <v>3131</v>
      </c>
      <c r="B46" s="5011" t="s">
        <v>170</v>
      </c>
      <c r="C46" s="2661">
        <f>+'Phụ lục số 2'!P34</f>
        <v>68073.100000000006</v>
      </c>
      <c r="D46" s="5854"/>
      <c r="E46" s="5854"/>
      <c r="F46" s="5854"/>
      <c r="G46" s="5854"/>
      <c r="H46" s="5854"/>
      <c r="I46" s="5854"/>
      <c r="J46" s="5854"/>
    </row>
    <row r="47" spans="1:16" s="5851" customFormat="1">
      <c r="A47" s="2756" t="s">
        <v>3132</v>
      </c>
      <c r="B47" s="46" t="s">
        <v>721</v>
      </c>
      <c r="C47" s="2661">
        <f>+'Phụ lục số 2'!P35</f>
        <v>22000</v>
      </c>
      <c r="D47" s="2734"/>
      <c r="E47" s="2734"/>
      <c r="F47" s="2734"/>
      <c r="G47" s="2734"/>
      <c r="H47" s="2734"/>
      <c r="I47" s="2734"/>
      <c r="J47" s="2734"/>
    </row>
    <row r="48" spans="1:16" s="5850" customFormat="1" ht="17.399999999999999">
      <c r="A48" s="5368">
        <v>3</v>
      </c>
      <c r="B48" s="2708" t="s">
        <v>1444</v>
      </c>
      <c r="C48" s="2647">
        <f>+'Phụ lục số 2'!P36</f>
        <v>3500</v>
      </c>
      <c r="D48" s="5848"/>
      <c r="E48" s="5848"/>
      <c r="F48" s="5848"/>
      <c r="G48" s="5848"/>
      <c r="H48" s="5848"/>
      <c r="I48" s="5848"/>
      <c r="J48" s="5848"/>
    </row>
    <row r="49" spans="1:12" s="5850" customFormat="1" ht="17.399999999999999">
      <c r="A49" s="5368">
        <v>4</v>
      </c>
      <c r="B49" s="2708" t="s">
        <v>174</v>
      </c>
      <c r="C49" s="2647">
        <f>+'Phụ lục số 2'!P37</f>
        <v>2000</v>
      </c>
      <c r="D49" s="5848"/>
      <c r="E49" s="5848"/>
      <c r="F49" s="5848"/>
      <c r="G49" s="5848"/>
      <c r="H49" s="5848"/>
      <c r="I49" s="5848"/>
      <c r="J49" s="5848"/>
    </row>
    <row r="50" spans="1:12" s="5850" customFormat="1" ht="17.399999999999999">
      <c r="A50" s="5368">
        <v>5</v>
      </c>
      <c r="B50" s="2708" t="s">
        <v>175</v>
      </c>
      <c r="C50" s="2647">
        <f>+'Phụ lục số 2'!P38</f>
        <v>163959.4</v>
      </c>
      <c r="D50" s="5848"/>
      <c r="E50" s="5848"/>
      <c r="F50" s="5848"/>
      <c r="G50" s="5848"/>
      <c r="H50" s="5848"/>
      <c r="I50" s="5848"/>
      <c r="J50" s="5848"/>
    </row>
    <row r="51" spans="1:12" s="5850" customFormat="1" ht="17.399999999999999">
      <c r="A51" s="606">
        <v>6</v>
      </c>
      <c r="B51" s="2708" t="s">
        <v>1419</v>
      </c>
      <c r="C51" s="2647">
        <f>+'Phụ lục số 2'!P39</f>
        <v>0</v>
      </c>
      <c r="D51" s="5848"/>
      <c r="E51" s="5848"/>
      <c r="F51" s="5848"/>
      <c r="G51" s="5848"/>
      <c r="H51" s="5848"/>
      <c r="I51" s="5848"/>
      <c r="J51" s="5848"/>
    </row>
    <row r="52" spans="1:12" s="5850" customFormat="1" ht="17.399999999999999">
      <c r="A52" s="2707" t="s">
        <v>33</v>
      </c>
      <c r="B52" s="4783" t="s">
        <v>177</v>
      </c>
      <c r="C52" s="2647">
        <f>+C53+C56+C59</f>
        <v>2782607</v>
      </c>
      <c r="D52" s="5848"/>
      <c r="E52" s="5848"/>
      <c r="F52" s="5848"/>
      <c r="G52" s="5848"/>
      <c r="H52" s="5848"/>
      <c r="I52" s="5848"/>
      <c r="J52" s="5848"/>
    </row>
    <row r="53" spans="1:12" s="5865" customFormat="1" ht="17.399999999999999">
      <c r="A53" s="5838">
        <v>1</v>
      </c>
      <c r="B53" s="5839" t="s">
        <v>178</v>
      </c>
      <c r="C53" s="5863">
        <f>+C54+C55</f>
        <v>2530494</v>
      </c>
      <c r="D53" s="5864"/>
      <c r="E53" s="5864"/>
      <c r="F53" s="5864"/>
      <c r="G53" s="5864"/>
      <c r="H53" s="5864"/>
      <c r="I53" s="5864"/>
      <c r="J53" s="5864"/>
    </row>
    <row r="54" spans="1:12" s="5865" customFormat="1" hidden="1">
      <c r="A54" s="5840" t="s">
        <v>99</v>
      </c>
      <c r="B54" s="5839" t="s">
        <v>100</v>
      </c>
      <c r="C54" s="5866">
        <f>+'Phụ lục số 2'!P42</f>
        <v>2399255</v>
      </c>
      <c r="D54" s="5864"/>
      <c r="E54" s="5864"/>
      <c r="F54" s="5864"/>
      <c r="G54" s="5864"/>
      <c r="H54" s="5864"/>
      <c r="I54" s="5864"/>
      <c r="J54" s="5864"/>
    </row>
    <row r="55" spans="1:12" s="5865" customFormat="1" hidden="1">
      <c r="A55" s="5840" t="s">
        <v>101</v>
      </c>
      <c r="B55" s="5839" t="s">
        <v>102</v>
      </c>
      <c r="C55" s="5866">
        <f>+'Phụ lục số 2'!P43</f>
        <v>131239</v>
      </c>
      <c r="D55" s="5864"/>
      <c r="E55" s="5864"/>
      <c r="F55" s="5864"/>
      <c r="G55" s="5864"/>
      <c r="H55" s="5864"/>
      <c r="I55" s="5864"/>
      <c r="J55" s="5864"/>
    </row>
    <row r="56" spans="1:12" s="5865" customFormat="1" ht="17.399999999999999">
      <c r="A56" s="5838">
        <v>2</v>
      </c>
      <c r="B56" s="5839" t="s">
        <v>179</v>
      </c>
      <c r="C56" s="5863">
        <f>+C57+C58</f>
        <v>125737</v>
      </c>
      <c r="D56" s="5864"/>
      <c r="E56" s="5864"/>
      <c r="F56" s="5864"/>
      <c r="G56" s="5864"/>
      <c r="H56" s="5864"/>
      <c r="I56" s="5864"/>
      <c r="J56" s="5864"/>
    </row>
    <row r="57" spans="1:12" s="5865" customFormat="1" hidden="1">
      <c r="A57" s="5840" t="s">
        <v>99</v>
      </c>
      <c r="B57" s="5839" t="s">
        <v>103</v>
      </c>
      <c r="C57" s="5866">
        <f>+'Phụ lục số 2'!P45</f>
        <v>89832</v>
      </c>
      <c r="D57" s="5864"/>
      <c r="E57" s="5864"/>
      <c r="F57" s="5864"/>
      <c r="G57" s="5864"/>
      <c r="H57" s="5864"/>
      <c r="I57" s="5864"/>
      <c r="J57" s="5864"/>
    </row>
    <row r="58" spans="1:12" s="5865" customFormat="1" hidden="1">
      <c r="A58" s="5840" t="s">
        <v>101</v>
      </c>
      <c r="B58" s="5839" t="s">
        <v>102</v>
      </c>
      <c r="C58" s="5866">
        <f>+'Phụ lục số 2'!P46</f>
        <v>35905</v>
      </c>
      <c r="D58" s="5864"/>
      <c r="E58" s="5864"/>
      <c r="F58" s="5864"/>
      <c r="G58" s="5864"/>
      <c r="H58" s="5864"/>
      <c r="I58" s="5864"/>
      <c r="J58" s="5864"/>
    </row>
    <row r="59" spans="1:12" s="5865" customFormat="1" ht="17.399999999999999">
      <c r="A59" s="5838">
        <v>3</v>
      </c>
      <c r="B59" s="5839" t="s">
        <v>180</v>
      </c>
      <c r="C59" s="5863">
        <f>+C60+C61</f>
        <v>126376</v>
      </c>
      <c r="D59" s="5864"/>
      <c r="E59" s="5864"/>
      <c r="F59" s="5864"/>
      <c r="G59" s="5864"/>
      <c r="H59" s="5864"/>
      <c r="I59" s="5864"/>
      <c r="J59" s="5864"/>
    </row>
    <row r="60" spans="1:12" s="5865" customFormat="1" hidden="1">
      <c r="A60" s="5840" t="s">
        <v>99</v>
      </c>
      <c r="B60" s="5839" t="s">
        <v>104</v>
      </c>
      <c r="C60" s="5866">
        <f>+'Phụ lục số 2'!P48</f>
        <v>0</v>
      </c>
      <c r="D60" s="5864"/>
      <c r="E60" s="5864"/>
      <c r="F60" s="5864"/>
      <c r="G60" s="5864"/>
      <c r="H60" s="5864"/>
      <c r="I60" s="5864"/>
      <c r="J60" s="5864"/>
    </row>
    <row r="61" spans="1:12" s="5865" customFormat="1" hidden="1">
      <c r="A61" s="5840" t="s">
        <v>101</v>
      </c>
      <c r="B61" s="5839" t="s">
        <v>105</v>
      </c>
      <c r="C61" s="5866">
        <f>+'Phụ lục số 2'!P49</f>
        <v>126376</v>
      </c>
      <c r="D61" s="5864"/>
      <c r="E61" s="5864"/>
      <c r="F61" s="5864"/>
      <c r="G61" s="5864"/>
      <c r="H61" s="5864"/>
      <c r="I61" s="5864"/>
      <c r="J61" s="5864"/>
    </row>
    <row r="62" spans="1:12" s="5850" customFormat="1" ht="17.399999999999999">
      <c r="A62" s="2707" t="s">
        <v>182</v>
      </c>
      <c r="B62" s="2785" t="s">
        <v>181</v>
      </c>
      <c r="C62" s="2647">
        <f>+'Phụ lục số 2'!P50</f>
        <v>0</v>
      </c>
      <c r="D62" s="5848"/>
      <c r="E62" s="5848"/>
      <c r="F62" s="5848"/>
      <c r="G62" s="5848"/>
      <c r="H62" s="5848"/>
      <c r="I62" s="5848"/>
      <c r="J62" s="5848"/>
    </row>
    <row r="63" spans="1:12" s="2923" customFormat="1" ht="17.399999999999999">
      <c r="A63" s="606" t="s">
        <v>215</v>
      </c>
      <c r="B63" s="2627" t="s">
        <v>1695</v>
      </c>
      <c r="C63" s="2638">
        <f>SUM(C64:C66)</f>
        <v>7078351.9069999997</v>
      </c>
      <c r="L63" s="5104"/>
    </row>
    <row r="64" spans="1:12" s="1649" customFormat="1">
      <c r="A64" s="614">
        <v>1</v>
      </c>
      <c r="B64" s="2625" t="s">
        <v>205</v>
      </c>
      <c r="C64" s="2640">
        <f>+'Phụ lục số 7'!E37</f>
        <v>4430923</v>
      </c>
      <c r="L64" s="5287"/>
    </row>
    <row r="65" spans="1:12" s="1649" customFormat="1">
      <c r="A65" s="614">
        <v>2</v>
      </c>
      <c r="B65" s="1924" t="s">
        <v>3175</v>
      </c>
      <c r="C65" s="2640">
        <f>+'Phụ lục số 7'!E38</f>
        <v>1681469</v>
      </c>
      <c r="L65" s="5287">
        <f>+C9+C13+C14</f>
        <v>13849301.796</v>
      </c>
    </row>
    <row r="66" spans="1:12" s="1649" customFormat="1">
      <c r="A66" s="614">
        <v>3</v>
      </c>
      <c r="B66" s="2625" t="s">
        <v>41</v>
      </c>
      <c r="C66" s="2640">
        <f>+'Phụ lục số 7'!E39</f>
        <v>965959.90700000001</v>
      </c>
      <c r="K66" s="5287">
        <f>+C66-L25</f>
        <v>898274.50699999963</v>
      </c>
      <c r="L66" s="5287">
        <f>+C20+C32+C48+C49+C50+C68+C67+C65+C64</f>
        <v>13137727.289000001</v>
      </c>
    </row>
    <row r="67" spans="1:12" s="49" customFormat="1" ht="17.399999999999999">
      <c r="A67" s="611" t="s">
        <v>718</v>
      </c>
      <c r="B67" s="330" t="s">
        <v>3233</v>
      </c>
      <c r="C67" s="5289">
        <f>+'Phụ lục số 2'!P51</f>
        <v>5553.7960000000003</v>
      </c>
      <c r="L67" s="320">
        <f>+L65-L66</f>
        <v>711574.50699999928</v>
      </c>
    </row>
    <row r="68" spans="1:12" s="47" customFormat="1">
      <c r="A68" s="4262" t="s">
        <v>44</v>
      </c>
      <c r="B68" s="453" t="s">
        <v>347</v>
      </c>
      <c r="C68" s="5290">
        <f>+'Phụ lục số 2'!P52</f>
        <v>186700</v>
      </c>
    </row>
    <row r="69" spans="1:12" s="47" customFormat="1">
      <c r="A69" s="5867"/>
      <c r="B69" s="518" t="s">
        <v>3219</v>
      </c>
      <c r="C69" s="5076"/>
    </row>
    <row r="70" spans="1:12" s="47" customFormat="1">
      <c r="A70" s="5867"/>
      <c r="B70" s="5868" t="s">
        <v>3221</v>
      </c>
      <c r="C70" s="5291">
        <v>20800</v>
      </c>
    </row>
    <row r="71" spans="1:12" s="47" customFormat="1" ht="18.600000000000001" thickBot="1">
      <c r="A71" s="5869"/>
      <c r="B71" s="5870" t="s">
        <v>3222</v>
      </c>
      <c r="C71" s="5292">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132" t="str">
        <f>'[4]01'!A1:B1</f>
        <v>ỦY BAN NHÂN DÂN TỈNH ĐỒNG THÁP</v>
      </c>
      <c r="B1" s="6132"/>
      <c r="C1" s="1117"/>
      <c r="H1" s="6122"/>
      <c r="I1" s="6122"/>
      <c r="J1" s="1117"/>
      <c r="M1" s="6133"/>
      <c r="N1" s="6133"/>
      <c r="O1" s="6122" t="s">
        <v>1119</v>
      </c>
      <c r="P1" s="6122"/>
    </row>
    <row r="2" spans="1:16">
      <c r="A2" s="1186"/>
      <c r="B2" s="1186"/>
      <c r="C2" s="1117"/>
      <c r="H2" s="1187"/>
      <c r="I2" s="1187"/>
      <c r="J2" s="1117"/>
      <c r="M2" s="1188"/>
      <c r="N2" s="1188"/>
      <c r="O2" s="1187"/>
      <c r="P2" s="1187"/>
    </row>
    <row r="3" spans="1:16">
      <c r="A3" s="6122" t="s">
        <v>1120</v>
      </c>
      <c r="B3" s="6122"/>
      <c r="C3" s="6122"/>
      <c r="D3" s="6122"/>
      <c r="E3" s="6122"/>
      <c r="F3" s="6122"/>
      <c r="G3" s="6122"/>
      <c r="H3" s="6122"/>
      <c r="I3" s="6122"/>
      <c r="J3" s="6122"/>
      <c r="K3" s="6122"/>
      <c r="L3" s="6122"/>
      <c r="M3" s="6122"/>
      <c r="N3" s="6122"/>
      <c r="O3" s="6122"/>
      <c r="P3" s="6122"/>
    </row>
    <row r="4" spans="1:16">
      <c r="A4" s="6122"/>
      <c r="B4" s="6122"/>
      <c r="C4" s="6122"/>
      <c r="D4" s="6122"/>
      <c r="E4" s="6122"/>
      <c r="F4" s="6122"/>
      <c r="G4" s="6122"/>
      <c r="H4" s="6122"/>
      <c r="I4" s="6122"/>
      <c r="J4" s="6122"/>
      <c r="K4" s="6122"/>
      <c r="L4" s="6122"/>
      <c r="M4" s="6122"/>
      <c r="N4" s="6122"/>
      <c r="O4" s="1187"/>
      <c r="P4" s="1187"/>
    </row>
    <row r="5" spans="1:16">
      <c r="H5" s="6127"/>
      <c r="I5" s="6127"/>
      <c r="M5" s="6128" t="s">
        <v>1121</v>
      </c>
      <c r="N5" s="6128"/>
      <c r="O5" s="6127" t="s">
        <v>1121</v>
      </c>
      <c r="P5" s="6127"/>
    </row>
    <row r="6" spans="1:16">
      <c r="A6" s="6119" t="s">
        <v>247</v>
      </c>
      <c r="B6" s="6116" t="s">
        <v>1123</v>
      </c>
      <c r="C6" s="6124" t="s">
        <v>985</v>
      </c>
      <c r="D6" s="6124"/>
      <c r="E6" s="6124"/>
      <c r="F6" s="6124"/>
      <c r="G6" s="6124"/>
      <c r="H6" s="6124"/>
      <c r="I6" s="6124"/>
      <c r="J6" s="6125" t="s">
        <v>1122</v>
      </c>
      <c r="K6" s="6125"/>
      <c r="L6" s="6125"/>
      <c r="M6" s="6125"/>
      <c r="N6" s="6125"/>
      <c r="O6" s="6125"/>
      <c r="P6" s="6125"/>
    </row>
    <row r="7" spans="1:16" ht="15.75" customHeight="1">
      <c r="A7" s="6120"/>
      <c r="B7" s="6117"/>
      <c r="C7" s="6126" t="s">
        <v>1124</v>
      </c>
      <c r="D7" s="6131" t="s">
        <v>1157</v>
      </c>
      <c r="E7" s="6131"/>
      <c r="F7" s="6131" t="s">
        <v>1158</v>
      </c>
      <c r="G7" s="6131"/>
      <c r="H7" s="6126" t="s">
        <v>996</v>
      </c>
      <c r="I7" s="6126" t="s">
        <v>1125</v>
      </c>
      <c r="J7" s="6126" t="s">
        <v>1124</v>
      </c>
      <c r="K7" s="6126" t="s">
        <v>1126</v>
      </c>
      <c r="L7" s="6126"/>
      <c r="M7" s="6126" t="s">
        <v>1127</v>
      </c>
      <c r="N7" s="6126"/>
      <c r="O7" s="6126" t="s">
        <v>1128</v>
      </c>
      <c r="P7" s="6126" t="s">
        <v>1125</v>
      </c>
    </row>
    <row r="8" spans="1:16" ht="31.5" customHeight="1">
      <c r="A8" s="6120"/>
      <c r="B8" s="6117"/>
      <c r="C8" s="6126"/>
      <c r="D8" s="6131"/>
      <c r="E8" s="6131"/>
      <c r="F8" s="6131"/>
      <c r="G8" s="6131"/>
      <c r="H8" s="6126"/>
      <c r="I8" s="6126"/>
      <c r="J8" s="6126"/>
      <c r="K8" s="6126"/>
      <c r="L8" s="6126"/>
      <c r="M8" s="6126"/>
      <c r="N8" s="6126"/>
      <c r="O8" s="6126"/>
      <c r="P8" s="6126"/>
    </row>
    <row r="9" spans="1:16" ht="82.5" customHeight="1">
      <c r="A9" s="6121"/>
      <c r="B9" s="6118"/>
      <c r="C9" s="6126"/>
      <c r="D9" s="1120" t="s">
        <v>987</v>
      </c>
      <c r="E9" s="1120" t="s">
        <v>1129</v>
      </c>
      <c r="F9" s="1120" t="s">
        <v>987</v>
      </c>
      <c r="G9" s="1120" t="s">
        <v>1129</v>
      </c>
      <c r="H9" s="6126"/>
      <c r="I9" s="6126"/>
      <c r="J9" s="6126"/>
      <c r="K9" s="1120" t="s">
        <v>987</v>
      </c>
      <c r="L9" s="1120" t="s">
        <v>1129</v>
      </c>
      <c r="M9" s="1120" t="s">
        <v>987</v>
      </c>
      <c r="N9" s="1120" t="s">
        <v>1129</v>
      </c>
      <c r="O9" s="6126"/>
      <c r="P9" s="6126"/>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30"/>
      <c r="F92" s="6130"/>
      <c r="G92" s="6130"/>
      <c r="H92" s="6130"/>
      <c r="I92" s="6130"/>
      <c r="J92" s="1185"/>
      <c r="L92" s="6130"/>
      <c r="M92" s="6130"/>
      <c r="N92" s="6130"/>
      <c r="O92" s="6130"/>
      <c r="P92" s="6130"/>
      <c r="Q92" s="1116"/>
    </row>
    <row r="93" spans="1:17" ht="17.399999999999999">
      <c r="B93" s="1185"/>
      <c r="C93" s="1185"/>
      <c r="E93" s="6123"/>
      <c r="F93" s="6123"/>
      <c r="G93" s="6123"/>
      <c r="H93" s="6123"/>
      <c r="I93" s="6123"/>
      <c r="J93" s="1185"/>
      <c r="L93" s="6123"/>
      <c r="M93" s="6123"/>
      <c r="N93" s="6123"/>
      <c r="O93" s="6123"/>
      <c r="P93" s="6123"/>
      <c r="Q93" s="1090"/>
    </row>
    <row r="94" spans="1:17" ht="17.399999999999999">
      <c r="E94" s="6123"/>
      <c r="F94" s="6123"/>
      <c r="G94" s="6123"/>
      <c r="H94" s="6123"/>
      <c r="I94" s="6123"/>
      <c r="L94" s="6123"/>
      <c r="M94" s="6123"/>
      <c r="N94" s="6123"/>
      <c r="O94" s="6123"/>
      <c r="P94" s="6123"/>
      <c r="Q94" s="1090"/>
    </row>
    <row r="95" spans="1:17" ht="18">
      <c r="E95" s="6129"/>
      <c r="F95" s="6129"/>
      <c r="G95" s="6129"/>
      <c r="H95" s="6129"/>
      <c r="I95" s="6129"/>
      <c r="L95" s="6129"/>
      <c r="M95" s="6129"/>
      <c r="N95" s="6129"/>
      <c r="O95" s="6129"/>
      <c r="P95" s="6129"/>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283" t="s">
        <v>756</v>
      </c>
      <c r="B1" s="6283"/>
      <c r="C1" s="6283"/>
      <c r="D1" s="6283"/>
      <c r="E1" s="6283"/>
      <c r="F1" s="6283"/>
      <c r="G1" s="6283"/>
      <c r="H1" s="6283"/>
      <c r="I1" s="6283"/>
      <c r="J1" s="6283"/>
      <c r="K1" s="6283"/>
      <c r="L1" s="6283"/>
      <c r="M1" s="6283"/>
      <c r="N1" s="6283"/>
      <c r="O1" s="6283"/>
      <c r="P1" s="6283"/>
      <c r="Q1" s="6283"/>
      <c r="R1" s="6283"/>
      <c r="S1" s="6283"/>
      <c r="T1" s="6283"/>
      <c r="U1" s="6283"/>
      <c r="V1" s="6283"/>
      <c r="W1" s="6283"/>
      <c r="X1" s="6283"/>
      <c r="Y1" s="6283"/>
      <c r="Z1" s="6283"/>
      <c r="AA1" s="6283"/>
      <c r="AB1" s="6283"/>
      <c r="AC1" s="6283"/>
      <c r="AD1" s="6283"/>
      <c r="AE1" s="6283"/>
      <c r="AF1" s="6283"/>
      <c r="AG1" s="6283"/>
      <c r="AH1" s="6283"/>
      <c r="AI1" s="6283"/>
      <c r="AJ1" s="6283"/>
      <c r="AK1" s="6283"/>
      <c r="AL1" s="6283"/>
    </row>
    <row r="2" spans="1:45">
      <c r="A2" s="6327" t="str">
        <f>+'Phụ lục số 4'!A4:C4</f>
        <v>(Kèm theo Báo cáo số     462/BC-UBND ngày 22 tháng 11 năm 2024 của Ủy ban nhân dân tỉnh Đồng Tháp)</v>
      </c>
      <c r="B2" s="6498"/>
      <c r="C2" s="6498"/>
      <c r="D2" s="6498"/>
      <c r="E2" s="6498"/>
      <c r="F2" s="6498"/>
      <c r="G2" s="6498"/>
      <c r="H2" s="6498"/>
      <c r="I2" s="6498"/>
      <c r="J2" s="6498"/>
      <c r="K2" s="6498"/>
      <c r="L2" s="6498"/>
      <c r="M2" s="6498"/>
      <c r="N2" s="6498"/>
      <c r="O2" s="6498"/>
      <c r="P2" s="6498"/>
      <c r="Q2" s="6498"/>
      <c r="R2" s="6498"/>
      <c r="S2" s="6498"/>
      <c r="T2" s="6498"/>
      <c r="U2" s="6498"/>
      <c r="V2" s="6498"/>
      <c r="W2" s="6498"/>
      <c r="X2" s="6498"/>
      <c r="Y2" s="6498"/>
      <c r="Z2" s="6498"/>
      <c r="AA2" s="6498"/>
      <c r="AB2" s="6498"/>
      <c r="AC2" s="6498"/>
      <c r="AD2" s="6498"/>
      <c r="AE2" s="6498"/>
      <c r="AF2" s="6498"/>
      <c r="AG2" s="6498"/>
      <c r="AH2" s="6498"/>
      <c r="AI2" s="6498"/>
      <c r="AJ2" s="6498"/>
      <c r="AK2" s="680"/>
    </row>
    <row r="3" spans="1:45">
      <c r="AB3" s="426"/>
    </row>
    <row r="4" spans="1:45" ht="18.600000000000001" thickBot="1">
      <c r="C4" s="426"/>
      <c r="D4" s="667"/>
      <c r="E4" s="667"/>
      <c r="F4" s="667"/>
      <c r="H4" s="667"/>
      <c r="I4" s="688"/>
      <c r="J4" s="667"/>
      <c r="P4" s="5112"/>
      <c r="Q4" s="667"/>
      <c r="S4" s="667"/>
      <c r="AH4" s="6518" t="s">
        <v>638</v>
      </c>
      <c r="AI4" s="6518"/>
      <c r="AJ4" s="6518"/>
      <c r="AK4" s="681"/>
    </row>
    <row r="5" spans="1:45" s="386" customFormat="1" ht="19.5" customHeight="1" thickTop="1">
      <c r="A5" s="6519" t="s">
        <v>136</v>
      </c>
      <c r="B5" s="6521" t="s">
        <v>639</v>
      </c>
      <c r="C5" s="6522" t="s">
        <v>121</v>
      </c>
      <c r="D5" s="6522"/>
      <c r="E5" s="6522"/>
      <c r="F5" s="6522"/>
      <c r="G5" s="6522"/>
      <c r="H5" s="6522"/>
      <c r="I5" s="6522"/>
      <c r="J5" s="6522"/>
      <c r="K5" s="6522"/>
      <c r="L5" s="6522"/>
      <c r="M5" s="6522"/>
      <c r="N5" s="6522"/>
      <c r="O5" s="6522"/>
      <c r="P5" s="6522"/>
      <c r="Q5" s="6522"/>
      <c r="R5" s="6522"/>
      <c r="S5" s="6522"/>
      <c r="T5" s="6522"/>
      <c r="U5" s="6522"/>
      <c r="V5" s="6522"/>
      <c r="W5" s="6522"/>
      <c r="X5" s="6522"/>
      <c r="Y5" s="6522"/>
      <c r="Z5" s="6522"/>
      <c r="AA5" s="6522"/>
      <c r="AB5" s="6522"/>
      <c r="AC5" s="6522"/>
      <c r="AD5" s="6522"/>
      <c r="AE5" s="6522"/>
      <c r="AF5" s="6522"/>
      <c r="AG5" s="6522"/>
      <c r="AH5" s="6522"/>
      <c r="AI5" s="6522"/>
      <c r="AJ5" s="6522"/>
      <c r="AK5" s="5010"/>
      <c r="AL5" s="6521" t="s">
        <v>640</v>
      </c>
      <c r="AM5" s="6521" t="s">
        <v>3232</v>
      </c>
      <c r="AN5" s="6525" t="s">
        <v>3174</v>
      </c>
    </row>
    <row r="6" spans="1:45" s="386" customFormat="1" ht="18.75" customHeight="1">
      <c r="A6" s="6520"/>
      <c r="B6" s="6046"/>
      <c r="C6" s="6046" t="s">
        <v>641</v>
      </c>
      <c r="D6" s="6046" t="s">
        <v>642</v>
      </c>
      <c r="E6" s="6046"/>
      <c r="F6" s="6046"/>
      <c r="G6" s="6046"/>
      <c r="H6" s="6046"/>
      <c r="I6" s="6046"/>
      <c r="J6" s="6046"/>
      <c r="K6" s="6046"/>
      <c r="L6" s="6046"/>
      <c r="M6" s="6046"/>
      <c r="N6" s="6046"/>
      <c r="O6" s="6046"/>
      <c r="P6" s="6466" t="s">
        <v>643</v>
      </c>
      <c r="Q6" s="6466"/>
      <c r="R6" s="6466"/>
      <c r="S6" s="6466"/>
      <c r="T6" s="6466"/>
      <c r="U6" s="6466"/>
      <c r="V6" s="6466"/>
      <c r="W6" s="6466"/>
      <c r="X6" s="6466"/>
      <c r="Y6" s="6466"/>
      <c r="Z6" s="6466"/>
      <c r="AA6" s="6466"/>
      <c r="AB6" s="6466"/>
      <c r="AC6" s="6466"/>
      <c r="AD6" s="6046" t="s">
        <v>755</v>
      </c>
      <c r="AE6" s="6046" t="s">
        <v>174</v>
      </c>
      <c r="AF6" s="6046" t="s">
        <v>175</v>
      </c>
      <c r="AG6" s="6515" t="s">
        <v>176</v>
      </c>
      <c r="AH6" s="6046" t="s">
        <v>644</v>
      </c>
      <c r="AI6" s="6371" t="s">
        <v>645</v>
      </c>
      <c r="AJ6" s="6371"/>
      <c r="AK6" s="6046" t="s">
        <v>766</v>
      </c>
      <c r="AL6" s="6046"/>
      <c r="AM6" s="6046"/>
      <c r="AN6" s="6526"/>
    </row>
    <row r="7" spans="1:45" s="386" customFormat="1" ht="17.399999999999999">
      <c r="A7" s="6520"/>
      <c r="B7" s="6046"/>
      <c r="C7" s="6046"/>
      <c r="D7" s="6046" t="s">
        <v>646</v>
      </c>
      <c r="E7" s="6046" t="s">
        <v>645</v>
      </c>
      <c r="F7" s="6046"/>
      <c r="G7" s="6046"/>
      <c r="H7" s="6046"/>
      <c r="I7" s="6046"/>
      <c r="J7" s="6046"/>
      <c r="K7" s="6046"/>
      <c r="L7" s="6046"/>
      <c r="M7" s="6046"/>
      <c r="N7" s="6046"/>
      <c r="O7" s="6046"/>
      <c r="P7" s="6046" t="s">
        <v>647</v>
      </c>
      <c r="Q7" s="6371" t="s">
        <v>645</v>
      </c>
      <c r="R7" s="6371"/>
      <c r="S7" s="6371"/>
      <c r="T7" s="6371"/>
      <c r="U7" s="6371"/>
      <c r="V7" s="6371"/>
      <c r="W7" s="6371"/>
      <c r="X7" s="6371"/>
      <c r="Y7" s="6371"/>
      <c r="Z7" s="6371"/>
      <c r="AA7" s="6371"/>
      <c r="AB7" s="6371"/>
      <c r="AC7" s="6371"/>
      <c r="AD7" s="6046"/>
      <c r="AE7" s="6046"/>
      <c r="AF7" s="6046"/>
      <c r="AG7" s="6515"/>
      <c r="AH7" s="6046"/>
      <c r="AI7" s="6371"/>
      <c r="AJ7" s="6371"/>
      <c r="AK7" s="6046"/>
      <c r="AL7" s="6046"/>
      <c r="AM7" s="6046"/>
      <c r="AN7" s="6526"/>
    </row>
    <row r="8" spans="1:45" s="386" customFormat="1" ht="17.399999999999999">
      <c r="A8" s="6520"/>
      <c r="B8" s="6046"/>
      <c r="C8" s="6046"/>
      <c r="D8" s="6046"/>
      <c r="E8" s="6317" t="str">
        <f>+'Phụ lục số 2'!B11</f>
        <v>Chi đầu tư xây dựng cơ bản</v>
      </c>
      <c r="F8" s="6317" t="str">
        <f>+'Phụ lục số 2'!B12</f>
        <v>Chi đầu tư từ nguồn thu tiền sử dụng đất</v>
      </c>
      <c r="G8" s="6516"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17" t="str">
        <f>+'Phụ lục số 2'!B14</f>
        <v>Chi đầu tư từ nguồn thu xổ số kiến thiết</v>
      </c>
      <c r="I8" s="6516" t="str">
        <f>+'Phụ lục số 2'!B15</f>
        <v>Trong đó: Ủy thác qua Ngân hàng Chính sách xã hội chi nhánh tỉnh Đồng Tháp (từ nguồn thu sổ số kiến thiết năm 2025)</v>
      </c>
      <c r="J8" s="6317" t="str">
        <f>+'Phụ lục số 2'!B16</f>
        <v>Chi đầu tư từ nguồn thu thoái vốn doanh nghiệp nhà nước địa phương quản lý;…</v>
      </c>
      <c r="K8" s="6317" t="str">
        <f>+'Phụ lục số 2'!B17</f>
        <v xml:space="preserve">Chi đầu tư phát triển khác </v>
      </c>
      <c r="L8" s="6046" t="s">
        <v>186</v>
      </c>
      <c r="M8" s="6046"/>
      <c r="N8" s="6046"/>
      <c r="O8" s="6046"/>
      <c r="P8" s="6046"/>
      <c r="Q8" s="6371"/>
      <c r="R8" s="6371"/>
      <c r="S8" s="6371"/>
      <c r="T8" s="6371"/>
      <c r="U8" s="6371"/>
      <c r="V8" s="6371"/>
      <c r="W8" s="6371"/>
      <c r="X8" s="6371"/>
      <c r="Y8" s="6371"/>
      <c r="Z8" s="6371"/>
      <c r="AA8" s="6371"/>
      <c r="AB8" s="6371"/>
      <c r="AC8" s="6371"/>
      <c r="AD8" s="6046"/>
      <c r="AE8" s="6046"/>
      <c r="AF8" s="6046"/>
      <c r="AG8" s="6515"/>
      <c r="AH8" s="6046"/>
      <c r="AI8" s="6467" t="s">
        <v>649</v>
      </c>
      <c r="AJ8" s="6467" t="s">
        <v>650</v>
      </c>
      <c r="AK8" s="6046"/>
      <c r="AL8" s="6046"/>
      <c r="AM8" s="6046"/>
      <c r="AN8" s="6526"/>
    </row>
    <row r="9" spans="1:45" s="431" customFormat="1" ht="190.5" customHeight="1">
      <c r="A9" s="6520"/>
      <c r="B9" s="6046"/>
      <c r="C9" s="6046"/>
      <c r="D9" s="6046"/>
      <c r="E9" s="6317"/>
      <c r="F9" s="6317"/>
      <c r="G9" s="6517"/>
      <c r="H9" s="6317"/>
      <c r="I9" s="6517"/>
      <c r="J9" s="6317"/>
      <c r="K9" s="6317"/>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046"/>
      <c r="Q9" s="430" t="s">
        <v>752</v>
      </c>
      <c r="R9" s="584" t="s">
        <v>753</v>
      </c>
      <c r="S9" s="430" t="s">
        <v>3124</v>
      </c>
      <c r="T9" s="5171" t="s">
        <v>754</v>
      </c>
      <c r="U9" s="5009" t="s">
        <v>156</v>
      </c>
      <c r="V9" s="5009" t="s">
        <v>158</v>
      </c>
      <c r="W9" s="5009" t="s">
        <v>160</v>
      </c>
      <c r="X9" s="5009" t="s">
        <v>162</v>
      </c>
      <c r="Y9" s="5009" t="s">
        <v>164</v>
      </c>
      <c r="Z9" s="5009" t="s">
        <v>166</v>
      </c>
      <c r="AA9" s="5009" t="s">
        <v>168</v>
      </c>
      <c r="AB9" s="5009" t="s">
        <v>170</v>
      </c>
      <c r="AC9" s="5009" t="s">
        <v>172</v>
      </c>
      <c r="AD9" s="6046"/>
      <c r="AE9" s="6046"/>
      <c r="AF9" s="6046"/>
      <c r="AG9" s="6515"/>
      <c r="AH9" s="6046"/>
      <c r="AI9" s="6341"/>
      <c r="AJ9" s="6341"/>
      <c r="AK9" s="6046"/>
      <c r="AL9" s="6046"/>
      <c r="AM9" s="6046"/>
      <c r="AN9" s="6526"/>
    </row>
    <row r="10" spans="1:45" s="588" customFormat="1">
      <c r="A10" s="586"/>
      <c r="B10" s="587" t="s">
        <v>651</v>
      </c>
      <c r="C10" s="5984">
        <f>C11+C114+C115+C118+C119+C120+C121+C123+C124+C127+C117+C116+C122+C125</f>
        <v>16699594.196</v>
      </c>
      <c r="D10" s="5984">
        <f t="shared" ref="D10:O10" si="0">D11+D114+D115+D118+D119+D120+D121+D123+D124+D127+D117+D116+D122+D125</f>
        <v>2983390</v>
      </c>
      <c r="E10" s="5984">
        <f t="shared" si="0"/>
        <v>376890</v>
      </c>
      <c r="F10" s="5984">
        <f t="shared" si="0"/>
        <v>506500</v>
      </c>
      <c r="G10" s="5985">
        <f t="shared" si="0"/>
        <v>160000</v>
      </c>
      <c r="H10" s="5984">
        <f t="shared" si="0"/>
        <v>2100000</v>
      </c>
      <c r="I10" s="5985">
        <f t="shared" si="0"/>
        <v>100000</v>
      </c>
      <c r="J10" s="5984">
        <f t="shared" si="0"/>
        <v>0</v>
      </c>
      <c r="K10" s="5984">
        <f t="shared" si="0"/>
        <v>0</v>
      </c>
      <c r="L10" s="5984">
        <f t="shared" si="0"/>
        <v>0</v>
      </c>
      <c r="M10" s="5984">
        <f t="shared" si="0"/>
        <v>0</v>
      </c>
      <c r="N10" s="5984">
        <f t="shared" si="0"/>
        <v>0</v>
      </c>
      <c r="O10" s="5984" t="e">
        <f t="shared" si="0"/>
        <v>#DIV/0!</v>
      </c>
      <c r="P10" s="5986">
        <f>P11+P114+P115+P118+P119+P120+P121+P123+P124+P127+P117+P116+P122</f>
        <v>3680232.0929999999</v>
      </c>
      <c r="Q10" s="5986">
        <f t="shared" ref="Q10:X10" si="1">Q11+Q114+Q115+Q118+Q119+Q120+Q121+Q123+Q124+Q127+Q117+Q116+Q122</f>
        <v>1106650</v>
      </c>
      <c r="R10" s="5986">
        <f>R11+R114+R115+R118+R119+R120+R121+R123+R124+R127+R117+R116+R122</f>
        <v>31307</v>
      </c>
      <c r="S10" s="5986">
        <f>S11+S114+S115+S118+S119+S120+S121+S123+S124+S127+S117+S116+S122</f>
        <v>150000</v>
      </c>
      <c r="T10" s="5986">
        <f t="shared" si="1"/>
        <v>0</v>
      </c>
      <c r="U10" s="5986">
        <f t="shared" si="1"/>
        <v>997261</v>
      </c>
      <c r="V10" s="5986">
        <f t="shared" si="1"/>
        <v>55631</v>
      </c>
      <c r="W10" s="5986">
        <f t="shared" si="1"/>
        <v>32394</v>
      </c>
      <c r="X10" s="5986">
        <f t="shared" si="1"/>
        <v>23615</v>
      </c>
      <c r="Y10" s="5986">
        <f>Y11+Y114+Y115+Y118+Y119+Y120+Y121+Y123+Y124+Y127+Y117+Y116+Y122</f>
        <v>88389</v>
      </c>
      <c r="Z10" s="5986">
        <f>Z11+Z114+Z115+Z118+Z119+Z120+Z121+Z123+Z124+Z127+Z117+Z116+Z122</f>
        <v>396140.49299999996</v>
      </c>
      <c r="AA10" s="5986">
        <f t="shared" ref="AA10:AC10" si="2">AA11+AA114+AA115+AA118+AA119+AA120+AA121+AA123+AA124+AA127+AA117+AA116+AA122</f>
        <v>708771.5</v>
      </c>
      <c r="AB10" s="5986">
        <f t="shared" si="2"/>
        <v>68073.100000000006</v>
      </c>
      <c r="AC10" s="5986">
        <f t="shared" si="2"/>
        <v>22000</v>
      </c>
      <c r="AD10" s="5986">
        <f t="shared" ref="AD10:AJ10" si="3">AD11+AD114+AD115+AD118+AD119+AD120+AD121+AD123+AD124+AD127+AD117+AD116+AD122</f>
        <v>3500</v>
      </c>
      <c r="AE10" s="5986">
        <f t="shared" si="3"/>
        <v>2000</v>
      </c>
      <c r="AF10" s="5986">
        <f t="shared" si="3"/>
        <v>163959.4</v>
      </c>
      <c r="AG10" s="5987">
        <f t="shared" si="3"/>
        <v>0</v>
      </c>
      <c r="AH10" s="5988">
        <f t="shared" si="3"/>
        <v>2782607</v>
      </c>
      <c r="AI10" s="5988">
        <f t="shared" si="3"/>
        <v>2530494</v>
      </c>
      <c r="AJ10" s="5988">
        <f t="shared" si="3"/>
        <v>252113</v>
      </c>
      <c r="AK10" s="5988">
        <f>AK11+AK114+AK115+AK118+AK119+AK120+AK121+AK123+AK124+AK127+AK117+AK116+AK122</f>
        <v>0</v>
      </c>
      <c r="AL10" s="5988">
        <f>AL11+AL114+AL115+AL118+AL119+AL120+AL121+AL123+AL124+AL127+AL117+AL116+AL122</f>
        <v>7078351.9069999997</v>
      </c>
      <c r="AM10" s="5989">
        <f>AM11+AM114+AM115+AM118+AM119+AM120+AM121+AM123+AM124+AM127+AM117+AM116+AM122+AM125+AM126</f>
        <v>5553.7960000000003</v>
      </c>
      <c r="AN10" s="5989">
        <f>AN11+AN114+AN115+AN118+AN119+AN120+AN121+AN123+AN124+AN127+AN117+AN116+AN122+AN125+AN126</f>
        <v>186700</v>
      </c>
      <c r="AO10" s="708"/>
      <c r="AQ10" s="5247">
        <f>+AN10+C10</f>
        <v>16886294.196000002</v>
      </c>
    </row>
    <row r="11" spans="1:45" s="382" customFormat="1">
      <c r="A11" s="589" t="s">
        <v>1</v>
      </c>
      <c r="B11" s="590" t="s">
        <v>652</v>
      </c>
      <c r="C11" s="5990">
        <f>C12+C44+C59+C63+C80</f>
        <v>3932345.0929999999</v>
      </c>
      <c r="D11" s="5991">
        <f>D12+D44+D59+D63+D80</f>
        <v>0</v>
      </c>
      <c r="E11" s="5991">
        <f>E12+E44+E59+E63+E80</f>
        <v>0</v>
      </c>
      <c r="F11" s="5991">
        <f>F12+F44+F59+F63+F80</f>
        <v>0</v>
      </c>
      <c r="G11" s="5992"/>
      <c r="H11" s="5991">
        <f>H12+H44+H59+H63+H80</f>
        <v>0</v>
      </c>
      <c r="I11" s="5992"/>
      <c r="J11" s="5991">
        <f>J12+J44+J59+J63+J80</f>
        <v>0</v>
      </c>
      <c r="K11" s="5991"/>
      <c r="L11" s="5991"/>
      <c r="M11" s="5991"/>
      <c r="N11" s="5991"/>
      <c r="O11" s="5991"/>
      <c r="P11" s="5990">
        <f>P12+P44+P59+P63+P80</f>
        <v>3680232.0929999999</v>
      </c>
      <c r="Q11" s="5990">
        <f>Q12+Q44+Q59+Q63+Q80</f>
        <v>1106650</v>
      </c>
      <c r="R11" s="5990">
        <f t="shared" ref="R11:AC11" si="4">R12+R44+R59+R63+R80</f>
        <v>31307</v>
      </c>
      <c r="S11" s="5990">
        <f t="shared" si="4"/>
        <v>150000</v>
      </c>
      <c r="T11" s="5990">
        <f t="shared" si="4"/>
        <v>0</v>
      </c>
      <c r="U11" s="5990">
        <f t="shared" si="4"/>
        <v>997261</v>
      </c>
      <c r="V11" s="5990">
        <f t="shared" si="4"/>
        <v>55631</v>
      </c>
      <c r="W11" s="5990">
        <f t="shared" si="4"/>
        <v>32394</v>
      </c>
      <c r="X11" s="5990">
        <f t="shared" si="4"/>
        <v>23615</v>
      </c>
      <c r="Y11" s="5990">
        <f t="shared" si="4"/>
        <v>88389</v>
      </c>
      <c r="Z11" s="5990">
        <f>Z12+Z44+Z59+Z63+Z80</f>
        <v>396140.49299999996</v>
      </c>
      <c r="AA11" s="5990">
        <f t="shared" si="4"/>
        <v>708771.5</v>
      </c>
      <c r="AB11" s="5990">
        <f t="shared" si="4"/>
        <v>68073.100000000006</v>
      </c>
      <c r="AC11" s="5990">
        <f t="shared" si="4"/>
        <v>22000</v>
      </c>
      <c r="AD11" s="5993"/>
      <c r="AE11" s="5993"/>
      <c r="AF11" s="5993"/>
      <c r="AG11" s="5993"/>
      <c r="AH11" s="5994">
        <f>AH12+AH44+AH59+AH63+AH80</f>
        <v>252113</v>
      </c>
      <c r="AI11" s="5994">
        <f>AI12+AI44+AI59+AI63+AI80</f>
        <v>0</v>
      </c>
      <c r="AJ11" s="5994">
        <f>AJ12+AJ44+AJ59+AJ63+AJ80</f>
        <v>252113</v>
      </c>
      <c r="AK11" s="5994">
        <f t="shared" ref="AK11:AN11" si="5">AK12+AK44+AK59+AK63+AK80</f>
        <v>0</v>
      </c>
      <c r="AL11" s="5994">
        <f t="shared" si="5"/>
        <v>0</v>
      </c>
      <c r="AM11" s="5994">
        <f t="shared" si="5"/>
        <v>0</v>
      </c>
      <c r="AN11" s="5995">
        <f t="shared" si="5"/>
        <v>0</v>
      </c>
    </row>
    <row r="12" spans="1:45" s="382" customFormat="1">
      <c r="A12" s="591" t="s">
        <v>3</v>
      </c>
      <c r="B12" s="592" t="s">
        <v>653</v>
      </c>
      <c r="C12" s="5954">
        <f t="shared" ref="C12:P12" si="6">SUM(C13:C31)+SUM(C32:C42)</f>
        <v>2982510.3296019998</v>
      </c>
      <c r="D12" s="5954">
        <f t="shared" si="6"/>
        <v>0</v>
      </c>
      <c r="E12" s="5954">
        <f t="shared" si="6"/>
        <v>0</v>
      </c>
      <c r="F12" s="5954">
        <f t="shared" si="6"/>
        <v>0</v>
      </c>
      <c r="G12" s="5959">
        <f t="shared" si="6"/>
        <v>0</v>
      </c>
      <c r="H12" s="5954">
        <f t="shared" si="6"/>
        <v>0</v>
      </c>
      <c r="I12" s="5959">
        <f t="shared" si="6"/>
        <v>0</v>
      </c>
      <c r="J12" s="5954">
        <f t="shared" si="6"/>
        <v>0</v>
      </c>
      <c r="K12" s="5954">
        <f t="shared" si="6"/>
        <v>0</v>
      </c>
      <c r="L12" s="5954">
        <f t="shared" si="6"/>
        <v>0</v>
      </c>
      <c r="M12" s="5954">
        <f t="shared" si="6"/>
        <v>0</v>
      </c>
      <c r="N12" s="5954">
        <f t="shared" si="6"/>
        <v>0</v>
      </c>
      <c r="O12" s="5954">
        <f t="shared" si="6"/>
        <v>0</v>
      </c>
      <c r="P12" s="5954">
        <f t="shared" si="6"/>
        <v>2857433.3296019998</v>
      </c>
      <c r="Q12" s="5954">
        <f t="shared" ref="Q12:AN12" si="7">SUM(Q13:Q42)</f>
        <v>1080741.6000000001</v>
      </c>
      <c r="R12" s="5954">
        <f t="shared" si="7"/>
        <v>29624</v>
      </c>
      <c r="S12" s="5954">
        <f t="shared" si="7"/>
        <v>0</v>
      </c>
      <c r="T12" s="5954">
        <f t="shared" si="7"/>
        <v>0</v>
      </c>
      <c r="U12" s="5954">
        <f t="shared" si="7"/>
        <v>624975.74300000002</v>
      </c>
      <c r="V12" s="5954">
        <f t="shared" si="7"/>
        <v>55631</v>
      </c>
      <c r="W12" s="5954">
        <f t="shared" si="7"/>
        <v>22029</v>
      </c>
      <c r="X12" s="5954">
        <f t="shared" si="7"/>
        <v>23615</v>
      </c>
      <c r="Y12" s="5954">
        <f t="shared" si="7"/>
        <v>79089</v>
      </c>
      <c r="Z12" s="5954">
        <f>SUM(Z13:Z42)</f>
        <v>237940</v>
      </c>
      <c r="AA12" s="5954">
        <f t="shared" si="7"/>
        <v>635714.98660199996</v>
      </c>
      <c r="AB12" s="5954">
        <f t="shared" si="7"/>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c r="AQ12" s="4788">
        <f>+C10-'Phụ lục số 4'!C18</f>
        <v>0</v>
      </c>
    </row>
    <row r="13" spans="1:45" s="596" customFormat="1">
      <c r="A13" s="593">
        <v>1</v>
      </c>
      <c r="B13" s="594" t="s">
        <v>654</v>
      </c>
      <c r="C13" s="5120">
        <f>D13+P13+AD13+AE13+AH13+AL13+AF13+AG13+AK13+AM13</f>
        <v>345372.32960199995</v>
      </c>
      <c r="D13" s="5120">
        <f t="shared" ref="D13:D43" si="8">SUM(E13:K13)</f>
        <v>0</v>
      </c>
      <c r="E13" s="5120"/>
      <c r="F13" s="5120"/>
      <c r="G13" s="5960"/>
      <c r="H13" s="5120"/>
      <c r="I13" s="5960"/>
      <c r="J13" s="5120"/>
      <c r="K13" s="5120"/>
      <c r="L13" s="5120"/>
      <c r="M13" s="5120"/>
      <c r="N13" s="5120"/>
      <c r="O13" s="5120"/>
      <c r="P13" s="4775">
        <f>SUM(Q13:AC13)</f>
        <v>345372.32960199995</v>
      </c>
      <c r="Q13" s="4775">
        <f>'[32]VP TINH UY DT 2025'!$P$87+630</f>
        <v>1982.6000000000001</v>
      </c>
      <c r="R13" s="4775"/>
      <c r="S13" s="4775"/>
      <c r="T13" s="4775"/>
      <c r="U13" s="4775">
        <f>+'[32]VP TINH UY DT 2025'!$P$53</f>
        <v>14090.743</v>
      </c>
      <c r="V13" s="4775"/>
      <c r="W13" s="4775"/>
      <c r="X13" s="4775"/>
      <c r="Y13" s="4775"/>
      <c r="Z13" s="4775"/>
      <c r="AA13" s="4775">
        <f>'[32]VP TINH UY DT 2025'!$P$12-Q13-U13+(57045413/1000)+(7242926/1000)+630</f>
        <v>329298.98660199996</v>
      </c>
      <c r="AB13" s="4775"/>
      <c r="AC13" s="4775"/>
      <c r="AD13" s="5996"/>
      <c r="AE13" s="5996"/>
      <c r="AF13" s="5996"/>
      <c r="AG13" s="5996"/>
      <c r="AH13" s="5996">
        <f>SUM(AI13:AJ13)</f>
        <v>0</v>
      </c>
      <c r="AI13" s="5996"/>
      <c r="AJ13" s="5996"/>
      <c r="AK13" s="5996"/>
      <c r="AL13" s="297"/>
      <c r="AM13" s="297"/>
      <c r="AN13" s="5997"/>
    </row>
    <row r="14" spans="1:45" s="596" customFormat="1">
      <c r="A14" s="593">
        <v>2</v>
      </c>
      <c r="B14" s="594" t="s">
        <v>655</v>
      </c>
      <c r="C14" s="5120">
        <f t="shared" ref="C14:C43" si="9">D14+P14+AD14+AE14+AH14+AL14+AF14+AG14+AK14+AM14</f>
        <v>16569</v>
      </c>
      <c r="D14" s="5120">
        <f t="shared" si="8"/>
        <v>0</v>
      </c>
      <c r="E14" s="5120"/>
      <c r="F14" s="5120"/>
      <c r="G14" s="5960"/>
      <c r="H14" s="5120"/>
      <c r="I14" s="5960"/>
      <c r="J14" s="5120"/>
      <c r="K14" s="5120"/>
      <c r="L14" s="5120"/>
      <c r="M14" s="5120"/>
      <c r="N14" s="5120"/>
      <c r="O14" s="5120"/>
      <c r="P14" s="4775">
        <f t="shared" ref="P14:P43" si="10">SUM(Q14:AC14)</f>
        <v>16569</v>
      </c>
      <c r="Q14" s="4775">
        <v>652</v>
      </c>
      <c r="R14" s="4775"/>
      <c r="S14" s="4775"/>
      <c r="T14" s="4775"/>
      <c r="U14" s="4775"/>
      <c r="V14" s="4775"/>
      <c r="W14" s="4775">
        <v>340</v>
      </c>
      <c r="X14" s="4775"/>
      <c r="Y14" s="4775"/>
      <c r="Z14" s="4775"/>
      <c r="AA14" s="4775">
        <v>15577</v>
      </c>
      <c r="AB14" s="4775"/>
      <c r="AC14" s="4775"/>
      <c r="AD14" s="5996"/>
      <c r="AE14" s="5996"/>
      <c r="AF14" s="5996"/>
      <c r="AG14" s="5996"/>
      <c r="AH14" s="5996">
        <f t="shared" ref="AH14:AH43" si="11">SUM(AI14:AJ14)</f>
        <v>0</v>
      </c>
      <c r="AI14" s="5996"/>
      <c r="AJ14" s="5996"/>
      <c r="AK14" s="5996"/>
      <c r="AL14" s="297"/>
      <c r="AM14" s="297"/>
      <c r="AN14" s="5997"/>
    </row>
    <row r="15" spans="1:45" s="596" customFormat="1">
      <c r="A15" s="593">
        <v>3</v>
      </c>
      <c r="B15" s="594" t="s">
        <v>656</v>
      </c>
      <c r="C15" s="5120">
        <f t="shared" si="9"/>
        <v>33575</v>
      </c>
      <c r="D15" s="5120">
        <f t="shared" si="8"/>
        <v>0</v>
      </c>
      <c r="E15" s="5120"/>
      <c r="F15" s="5120"/>
      <c r="G15" s="5960"/>
      <c r="H15" s="5120"/>
      <c r="I15" s="5960"/>
      <c r="J15" s="5120"/>
      <c r="K15" s="5120"/>
      <c r="L15" s="5120"/>
      <c r="M15" s="5120"/>
      <c r="N15" s="5120"/>
      <c r="O15" s="5120"/>
      <c r="P15" s="4775">
        <f t="shared" si="10"/>
        <v>33575</v>
      </c>
      <c r="Q15" s="4775">
        <v>100</v>
      </c>
      <c r="R15" s="4775"/>
      <c r="S15" s="4775"/>
      <c r="T15" s="4775"/>
      <c r="U15" s="4775"/>
      <c r="V15" s="4775"/>
      <c r="W15" s="4775"/>
      <c r="X15" s="4775"/>
      <c r="Y15" s="4775"/>
      <c r="Z15" s="4775">
        <v>2755</v>
      </c>
      <c r="AA15" s="598">
        <v>30720</v>
      </c>
      <c r="AB15" s="4775"/>
      <c r="AC15" s="4775"/>
      <c r="AD15" s="5996"/>
      <c r="AE15" s="5996"/>
      <c r="AF15" s="5996"/>
      <c r="AG15" s="5996"/>
      <c r="AH15" s="5996">
        <f t="shared" si="11"/>
        <v>0</v>
      </c>
      <c r="AI15" s="5996"/>
      <c r="AJ15" s="5996"/>
      <c r="AK15" s="5996"/>
      <c r="AL15" s="297"/>
      <c r="AM15" s="297"/>
      <c r="AN15" s="5997"/>
    </row>
    <row r="16" spans="1:45" s="596" customFormat="1">
      <c r="A16" s="593">
        <v>4</v>
      </c>
      <c r="B16" s="594" t="s">
        <v>657</v>
      </c>
      <c r="C16" s="5120">
        <f t="shared" si="9"/>
        <v>144887</v>
      </c>
      <c r="D16" s="5120">
        <f t="shared" si="8"/>
        <v>0</v>
      </c>
      <c r="E16" s="5120"/>
      <c r="F16" s="5120"/>
      <c r="G16" s="5960"/>
      <c r="H16" s="5120"/>
      <c r="I16" s="5960"/>
      <c r="J16" s="5120"/>
      <c r="K16" s="5120"/>
      <c r="L16" s="5120"/>
      <c r="M16" s="5120"/>
      <c r="N16" s="5120"/>
      <c r="O16" s="5120"/>
      <c r="P16" s="4775">
        <f t="shared" si="10"/>
        <v>105662</v>
      </c>
      <c r="Q16" s="4775">
        <v>742</v>
      </c>
      <c r="R16" s="598">
        <v>3624</v>
      </c>
      <c r="S16" s="598"/>
      <c r="T16" s="595"/>
      <c r="U16" s="4775"/>
      <c r="V16" s="4775"/>
      <c r="W16" s="4775"/>
      <c r="X16" s="4775"/>
      <c r="Y16" s="4775">
        <v>15509</v>
      </c>
      <c r="Z16" s="4775">
        <f>125081-53900+2136</f>
        <v>73317</v>
      </c>
      <c r="AA16" s="598">
        <f>13420-950</f>
        <v>12470</v>
      </c>
      <c r="AB16" s="4775"/>
      <c r="AC16" s="4775"/>
      <c r="AD16" s="5996"/>
      <c r="AE16" s="5996"/>
      <c r="AF16" s="5996"/>
      <c r="AG16" s="5996"/>
      <c r="AH16" s="5996">
        <f t="shared" si="11"/>
        <v>39225</v>
      </c>
      <c r="AI16" s="5996"/>
      <c r="AJ16" s="5996">
        <f>'Phụ lục số 6'!E35+'Phụ lục số 6'!E25</f>
        <v>39225</v>
      </c>
      <c r="AK16" s="5996"/>
      <c r="AL16" s="297"/>
      <c r="AM16" s="297"/>
      <c r="AN16" s="5997"/>
      <c r="AO16" s="597"/>
      <c r="AQ16" s="602">
        <f>+AJ16+AJ17+AJ23+AJ25+AJ29+AJ30+AJ37+AJ44</f>
        <v>113236</v>
      </c>
      <c r="AS16" s="596">
        <v>76000</v>
      </c>
    </row>
    <row r="17" spans="1:45" s="596" customFormat="1">
      <c r="A17" s="593">
        <v>5</v>
      </c>
      <c r="B17" s="594" t="s">
        <v>658</v>
      </c>
      <c r="C17" s="5120">
        <f t="shared" si="9"/>
        <v>16569</v>
      </c>
      <c r="D17" s="5120">
        <f t="shared" si="8"/>
        <v>0</v>
      </c>
      <c r="E17" s="5120"/>
      <c r="F17" s="5120"/>
      <c r="G17" s="5960"/>
      <c r="H17" s="5120"/>
      <c r="I17" s="5960"/>
      <c r="J17" s="5120"/>
      <c r="K17" s="5120"/>
      <c r="L17" s="5120"/>
      <c r="M17" s="5120"/>
      <c r="N17" s="5120"/>
      <c r="O17" s="5120"/>
      <c r="P17" s="4775">
        <f>SUM(Q17:AC17)</f>
        <v>15959</v>
      </c>
      <c r="Q17" s="4775">
        <v>531</v>
      </c>
      <c r="R17" s="4775"/>
      <c r="S17" s="4775"/>
      <c r="T17" s="4775"/>
      <c r="U17" s="4775"/>
      <c r="V17" s="4775"/>
      <c r="W17" s="4775">
        <v>777</v>
      </c>
      <c r="X17" s="4775"/>
      <c r="Y17" s="4775"/>
      <c r="Z17" s="4775">
        <v>4492</v>
      </c>
      <c r="AA17" s="598">
        <v>10159</v>
      </c>
      <c r="AB17" s="4775"/>
      <c r="AC17" s="4775"/>
      <c r="AD17" s="5996"/>
      <c r="AE17" s="5996"/>
      <c r="AF17" s="5996"/>
      <c r="AG17" s="5996"/>
      <c r="AH17" s="5996">
        <f t="shared" si="11"/>
        <v>610</v>
      </c>
      <c r="AI17" s="5996"/>
      <c r="AJ17" s="5996">
        <f>'Phụ lục số 6'!E34-AJ23-AJ25-AJ29</f>
        <v>610</v>
      </c>
      <c r="AK17" s="5996"/>
      <c r="AL17" s="297"/>
      <c r="AM17" s="297"/>
      <c r="AN17" s="5997"/>
      <c r="AS17" s="5248">
        <f>+AS16+Z10</f>
        <v>472140.49299999996</v>
      </c>
    </row>
    <row r="18" spans="1:45" s="380" customFormat="1">
      <c r="A18" s="52">
        <v>6</v>
      </c>
      <c r="B18" s="601" t="s">
        <v>659</v>
      </c>
      <c r="C18" s="5120">
        <f t="shared" si="9"/>
        <v>22686</v>
      </c>
      <c r="D18" s="5128">
        <f t="shared" si="8"/>
        <v>0</v>
      </c>
      <c r="E18" s="5128"/>
      <c r="F18" s="5128"/>
      <c r="G18" s="5124"/>
      <c r="H18" s="5128"/>
      <c r="I18" s="5124"/>
      <c r="J18" s="5128"/>
      <c r="K18" s="5128"/>
      <c r="L18" s="5128"/>
      <c r="M18" s="5128"/>
      <c r="N18" s="5128"/>
      <c r="O18" s="5128"/>
      <c r="P18" s="595">
        <f>SUM(Q18:AC18)</f>
        <v>22686</v>
      </c>
      <c r="Q18" s="4775">
        <f>1680+222</f>
        <v>1902</v>
      </c>
      <c r="R18" s="5998"/>
      <c r="S18" s="5998"/>
      <c r="T18" s="5998"/>
      <c r="U18" s="5998"/>
      <c r="V18" s="5998"/>
      <c r="W18" s="5998"/>
      <c r="X18" s="5998"/>
      <c r="Y18" s="5998">
        <v>0</v>
      </c>
      <c r="Z18" s="5998">
        <f>7811-6400</f>
        <v>1411</v>
      </c>
      <c r="AA18" s="598">
        <v>19373</v>
      </c>
      <c r="AB18" s="595"/>
      <c r="AC18" s="595"/>
      <c r="AD18" s="5117"/>
      <c r="AE18" s="5117"/>
      <c r="AF18" s="5117"/>
      <c r="AG18" s="5117"/>
      <c r="AH18" s="5117">
        <f t="shared" si="11"/>
        <v>0</v>
      </c>
      <c r="AI18" s="5117"/>
      <c r="AJ18" s="5117"/>
      <c r="AK18" s="5117"/>
      <c r="AL18" s="330"/>
      <c r="AM18" s="330"/>
      <c r="AN18" s="1659"/>
    </row>
    <row r="19" spans="1:45" s="596" customFormat="1">
      <c r="A19" s="593">
        <v>7</v>
      </c>
      <c r="B19" s="594" t="s">
        <v>660</v>
      </c>
      <c r="C19" s="5120">
        <f t="shared" si="9"/>
        <v>56355</v>
      </c>
      <c r="D19" s="5120">
        <f t="shared" si="8"/>
        <v>0</v>
      </c>
      <c r="E19" s="5120"/>
      <c r="F19" s="5120"/>
      <c r="G19" s="5960"/>
      <c r="H19" s="5120"/>
      <c r="I19" s="5960"/>
      <c r="J19" s="5120"/>
      <c r="K19" s="5120"/>
      <c r="L19" s="5120"/>
      <c r="M19" s="5120"/>
      <c r="N19" s="5120"/>
      <c r="O19" s="5120"/>
      <c r="P19" s="4775">
        <f t="shared" si="10"/>
        <v>56355</v>
      </c>
      <c r="Q19" s="4775">
        <v>4200</v>
      </c>
      <c r="R19" s="598"/>
      <c r="S19" s="4775"/>
      <c r="T19" s="4775"/>
      <c r="U19" s="5998"/>
      <c r="V19" s="4775"/>
      <c r="W19" s="4775"/>
      <c r="X19" s="4775"/>
      <c r="Y19" s="4775"/>
      <c r="Z19" s="6001">
        <f>31375-10000</f>
        <v>21375</v>
      </c>
      <c r="AA19" s="598">
        <v>30780</v>
      </c>
      <c r="AB19" s="4775"/>
      <c r="AC19" s="4775"/>
      <c r="AD19" s="5996"/>
      <c r="AE19" s="5996"/>
      <c r="AF19" s="5996"/>
      <c r="AG19" s="5996"/>
      <c r="AH19" s="5996">
        <f t="shared" si="11"/>
        <v>0</v>
      </c>
      <c r="AI19" s="5996"/>
      <c r="AJ19" s="5996"/>
      <c r="AK19" s="5996"/>
      <c r="AL19" s="297"/>
      <c r="AM19" s="297"/>
      <c r="AN19" s="5997"/>
    </row>
    <row r="20" spans="1:45" s="596" customFormat="1">
      <c r="A20" s="593">
        <v>8</v>
      </c>
      <c r="B20" s="594" t="s">
        <v>661</v>
      </c>
      <c r="C20" s="5120">
        <f t="shared" si="9"/>
        <v>10971</v>
      </c>
      <c r="D20" s="5120">
        <f t="shared" si="8"/>
        <v>0</v>
      </c>
      <c r="E20" s="5120"/>
      <c r="F20" s="5120"/>
      <c r="G20" s="5960"/>
      <c r="H20" s="5120"/>
      <c r="I20" s="5960"/>
      <c r="J20" s="5120"/>
      <c r="K20" s="5120"/>
      <c r="L20" s="5120"/>
      <c r="M20" s="5120"/>
      <c r="N20" s="5120"/>
      <c r="O20" s="5120"/>
      <c r="P20" s="4775">
        <f t="shared" si="10"/>
        <v>10971</v>
      </c>
      <c r="Q20" s="4775">
        <v>810</v>
      </c>
      <c r="R20" s="598"/>
      <c r="S20" s="4775"/>
      <c r="T20" s="4775"/>
      <c r="U20" s="598"/>
      <c r="V20" s="4775"/>
      <c r="W20" s="4775"/>
      <c r="X20" s="4775"/>
      <c r="Y20" s="4775"/>
      <c r="Z20" s="4775">
        <v>975</v>
      </c>
      <c r="AA20" s="598">
        <v>9186</v>
      </c>
      <c r="AB20" s="4775"/>
      <c r="AC20" s="4775"/>
      <c r="AD20" s="5996"/>
      <c r="AE20" s="5996"/>
      <c r="AF20" s="5996"/>
      <c r="AG20" s="5996"/>
      <c r="AH20" s="5996">
        <f t="shared" si="11"/>
        <v>0</v>
      </c>
      <c r="AI20" s="5996"/>
      <c r="AJ20" s="5996"/>
      <c r="AK20" s="5996"/>
      <c r="AL20" s="297"/>
      <c r="AM20" s="297"/>
      <c r="AN20" s="5997"/>
    </row>
    <row r="21" spans="1:45" s="596" customFormat="1">
      <c r="A21" s="593">
        <v>9</v>
      </c>
      <c r="B21" s="594" t="s">
        <v>662</v>
      </c>
      <c r="C21" s="5120">
        <f t="shared" si="9"/>
        <v>19880</v>
      </c>
      <c r="D21" s="5120">
        <f t="shared" si="8"/>
        <v>0</v>
      </c>
      <c r="E21" s="5120"/>
      <c r="F21" s="5120"/>
      <c r="G21" s="5960"/>
      <c r="H21" s="5120"/>
      <c r="I21" s="5960"/>
      <c r="J21" s="5120"/>
      <c r="K21" s="5120"/>
      <c r="L21" s="5120"/>
      <c r="M21" s="5120"/>
      <c r="N21" s="5120"/>
      <c r="O21" s="5120"/>
      <c r="P21" s="4775">
        <f>SUM(Q21:AC21)</f>
        <v>19880</v>
      </c>
      <c r="Q21" s="4775">
        <v>1034</v>
      </c>
      <c r="R21" s="598"/>
      <c r="S21" s="4775"/>
      <c r="T21" s="4775"/>
      <c r="U21" s="598"/>
      <c r="V21" s="4775"/>
      <c r="W21" s="4775">
        <v>708</v>
      </c>
      <c r="X21" s="598"/>
      <c r="Y21" s="4775"/>
      <c r="Z21" s="598">
        <v>10157</v>
      </c>
      <c r="AA21" s="598">
        <v>7981</v>
      </c>
      <c r="AB21" s="4775"/>
      <c r="AC21" s="4775"/>
      <c r="AD21" s="5996"/>
      <c r="AE21" s="5996"/>
      <c r="AF21" s="5996"/>
      <c r="AG21" s="5996"/>
      <c r="AH21" s="5996">
        <f t="shared" si="11"/>
        <v>0</v>
      </c>
      <c r="AI21" s="5996"/>
      <c r="AJ21" s="5996"/>
      <c r="AK21" s="5996"/>
      <c r="AL21" s="297"/>
      <c r="AM21" s="297"/>
      <c r="AN21" s="5997"/>
    </row>
    <row r="22" spans="1:45" s="596" customFormat="1">
      <c r="A22" s="593">
        <v>10</v>
      </c>
      <c r="B22" s="594" t="s">
        <v>663</v>
      </c>
      <c r="C22" s="5120">
        <f t="shared" si="9"/>
        <v>637637</v>
      </c>
      <c r="D22" s="5120">
        <f t="shared" si="8"/>
        <v>0</v>
      </c>
      <c r="E22" s="5120"/>
      <c r="F22" s="5120"/>
      <c r="G22" s="5960"/>
      <c r="H22" s="5120"/>
      <c r="I22" s="5960"/>
      <c r="J22" s="5120"/>
      <c r="K22" s="5120"/>
      <c r="L22" s="5120"/>
      <c r="M22" s="5120"/>
      <c r="N22" s="5120"/>
      <c r="O22" s="5120"/>
      <c r="P22" s="4775">
        <f t="shared" si="10"/>
        <v>637637</v>
      </c>
      <c r="Q22" s="4775">
        <v>7189</v>
      </c>
      <c r="R22" s="4775"/>
      <c r="S22" s="4775"/>
      <c r="T22" s="4775"/>
      <c r="U22" s="5998">
        <v>610885</v>
      </c>
      <c r="V22" s="598"/>
      <c r="W22" s="4775"/>
      <c r="X22" s="4775"/>
      <c r="Y22" s="4775">
        <v>4684</v>
      </c>
      <c r="Z22" s="4775"/>
      <c r="AA22" s="598">
        <v>14879</v>
      </c>
      <c r="AB22" s="4775"/>
      <c r="AC22" s="4775"/>
      <c r="AD22" s="5996"/>
      <c r="AE22" s="5996"/>
      <c r="AF22" s="5996"/>
      <c r="AG22" s="5996"/>
      <c r="AH22" s="5996">
        <f t="shared" si="11"/>
        <v>0</v>
      </c>
      <c r="AI22" s="5996"/>
      <c r="AJ22" s="5996"/>
      <c r="AK22" s="5996"/>
      <c r="AL22" s="297"/>
      <c r="AM22" s="297"/>
      <c r="AN22" s="5997"/>
      <c r="AQ22" s="597">
        <f>+'Phụ lục số 3-CĐC'!J33</f>
        <v>16699594.196</v>
      </c>
    </row>
    <row r="23" spans="1:45" s="596" customFormat="1">
      <c r="A23" s="593">
        <v>11</v>
      </c>
      <c r="B23" s="594" t="s">
        <v>664</v>
      </c>
      <c r="C23" s="5120">
        <f t="shared" si="9"/>
        <v>22627</v>
      </c>
      <c r="D23" s="5120">
        <f t="shared" si="8"/>
        <v>0</v>
      </c>
      <c r="E23" s="5120"/>
      <c r="F23" s="5120"/>
      <c r="G23" s="5960"/>
      <c r="H23" s="5120"/>
      <c r="I23" s="5960"/>
      <c r="J23" s="5120"/>
      <c r="K23" s="5120"/>
      <c r="L23" s="5120"/>
      <c r="M23" s="5120"/>
      <c r="N23" s="5120"/>
      <c r="O23" s="5120"/>
      <c r="P23" s="4775">
        <f t="shared" si="10"/>
        <v>22177</v>
      </c>
      <c r="Q23" s="4775">
        <v>364</v>
      </c>
      <c r="R23" s="4775"/>
      <c r="S23" s="4775"/>
      <c r="T23" s="4775"/>
      <c r="U23" s="4775"/>
      <c r="V23" s="4775"/>
      <c r="W23" s="4775"/>
      <c r="X23" s="4775"/>
      <c r="Y23" s="4775">
        <v>30</v>
      </c>
      <c r="Z23" s="4775">
        <v>9420</v>
      </c>
      <c r="AA23" s="4775">
        <v>12363</v>
      </c>
      <c r="AB23" s="4775"/>
      <c r="AC23" s="4775"/>
      <c r="AD23" s="5996"/>
      <c r="AE23" s="5996"/>
      <c r="AF23" s="5996"/>
      <c r="AG23" s="5996"/>
      <c r="AH23" s="5996">
        <f t="shared" si="11"/>
        <v>450</v>
      </c>
      <c r="AI23" s="5996"/>
      <c r="AJ23" s="5996">
        <v>450</v>
      </c>
      <c r="AK23" s="5996"/>
      <c r="AL23" s="297"/>
      <c r="AM23" s="297"/>
      <c r="AN23" s="5997"/>
      <c r="AQ23" s="597">
        <f>+C10-AQ22</f>
        <v>0</v>
      </c>
    </row>
    <row r="24" spans="1:45" s="596" customFormat="1">
      <c r="A24" s="593">
        <v>12</v>
      </c>
      <c r="B24" s="594" t="s">
        <v>665</v>
      </c>
      <c r="C24" s="5120">
        <f t="shared" si="9"/>
        <v>18435</v>
      </c>
      <c r="D24" s="5120">
        <f t="shared" si="8"/>
        <v>0</v>
      </c>
      <c r="E24" s="5120"/>
      <c r="F24" s="5120"/>
      <c r="G24" s="5960"/>
      <c r="H24" s="5120"/>
      <c r="I24" s="5960"/>
      <c r="J24" s="5120"/>
      <c r="K24" s="5120"/>
      <c r="L24" s="5120"/>
      <c r="M24" s="5120"/>
      <c r="N24" s="5120"/>
      <c r="O24" s="5120"/>
      <c r="P24" s="4775">
        <f t="shared" si="10"/>
        <v>18435</v>
      </c>
      <c r="Q24" s="4775">
        <v>2051</v>
      </c>
      <c r="R24" s="598"/>
      <c r="S24" s="4775"/>
      <c r="T24" s="4775"/>
      <c r="U24" s="598"/>
      <c r="V24" s="4775"/>
      <c r="W24" s="4775"/>
      <c r="X24" s="4775"/>
      <c r="Y24" s="4775"/>
      <c r="Z24" s="4775">
        <v>2343</v>
      </c>
      <c r="AA24" s="598">
        <v>14041</v>
      </c>
      <c r="AB24" s="4775"/>
      <c r="AC24" s="4775"/>
      <c r="AD24" s="5996"/>
      <c r="AE24" s="5996"/>
      <c r="AF24" s="5996"/>
      <c r="AG24" s="5996"/>
      <c r="AH24" s="5996">
        <f t="shared" si="11"/>
        <v>0</v>
      </c>
      <c r="AI24" s="5996"/>
      <c r="AJ24" s="5996"/>
      <c r="AK24" s="5996"/>
      <c r="AL24" s="297"/>
      <c r="AM24" s="297"/>
      <c r="AN24" s="5997"/>
    </row>
    <row r="25" spans="1:45" s="596" customFormat="1">
      <c r="A25" s="593">
        <v>13</v>
      </c>
      <c r="B25" s="594" t="s">
        <v>666</v>
      </c>
      <c r="C25" s="5120">
        <f t="shared" si="9"/>
        <v>37082</v>
      </c>
      <c r="D25" s="5120">
        <f t="shared" si="8"/>
        <v>0</v>
      </c>
      <c r="E25" s="5120"/>
      <c r="F25" s="5120"/>
      <c r="G25" s="5960"/>
      <c r="H25" s="5120"/>
      <c r="I25" s="5960"/>
      <c r="J25" s="5120"/>
      <c r="K25" s="5120"/>
      <c r="L25" s="5120"/>
      <c r="M25" s="5120"/>
      <c r="N25" s="5120"/>
      <c r="O25" s="5120"/>
      <c r="P25" s="4775">
        <f t="shared" si="10"/>
        <v>36582</v>
      </c>
      <c r="Q25" s="4775">
        <v>111</v>
      </c>
      <c r="R25" s="4775">
        <v>26000</v>
      </c>
      <c r="S25" s="4775"/>
      <c r="T25" s="4775"/>
      <c r="U25" s="4775"/>
      <c r="V25" s="4775"/>
      <c r="W25" s="4775"/>
      <c r="X25" s="4775"/>
      <c r="Y25" s="4775"/>
      <c r="Z25" s="4775"/>
      <c r="AA25" s="4775">
        <v>10471</v>
      </c>
      <c r="AB25" s="4775"/>
      <c r="AC25" s="4775"/>
      <c r="AD25" s="5996"/>
      <c r="AE25" s="5996"/>
      <c r="AF25" s="5996"/>
      <c r="AG25" s="5996"/>
      <c r="AH25" s="5996">
        <f t="shared" si="11"/>
        <v>500</v>
      </c>
      <c r="AI25" s="5996"/>
      <c r="AJ25" s="5996">
        <v>500</v>
      </c>
      <c r="AK25" s="5996"/>
      <c r="AL25" s="297"/>
      <c r="AM25" s="297"/>
      <c r="AN25" s="5997"/>
    </row>
    <row r="26" spans="1:45" s="596" customFormat="1">
      <c r="A26" s="593">
        <v>14</v>
      </c>
      <c r="B26" s="594" t="s">
        <v>667</v>
      </c>
      <c r="C26" s="5120">
        <f t="shared" si="9"/>
        <v>834331</v>
      </c>
      <c r="D26" s="5120">
        <f t="shared" si="8"/>
        <v>0</v>
      </c>
      <c r="E26" s="5120"/>
      <c r="F26" s="5120"/>
      <c r="G26" s="5960"/>
      <c r="H26" s="5120"/>
      <c r="I26" s="5960"/>
      <c r="J26" s="5120"/>
      <c r="K26" s="5120"/>
      <c r="L26" s="5120"/>
      <c r="M26" s="5120"/>
      <c r="N26" s="5120"/>
      <c r="O26" s="5120"/>
      <c r="P26" s="4775">
        <f t="shared" si="10"/>
        <v>834331</v>
      </c>
      <c r="Q26" s="595">
        <f>830509-15706</f>
        <v>814803</v>
      </c>
      <c r="R26" s="4775"/>
      <c r="S26" s="4775"/>
      <c r="T26" s="4775"/>
      <c r="U26" s="4775"/>
      <c r="V26" s="4775"/>
      <c r="W26" s="4775">
        <v>520</v>
      </c>
      <c r="X26" s="4775">
        <v>3500</v>
      </c>
      <c r="Y26" s="598">
        <v>130</v>
      </c>
      <c r="Z26" s="4775"/>
      <c r="AA26" s="598">
        <v>15378</v>
      </c>
      <c r="AB26" s="4775"/>
      <c r="AC26" s="4775"/>
      <c r="AD26" s="5996"/>
      <c r="AE26" s="5996"/>
      <c r="AF26" s="5996"/>
      <c r="AG26" s="5996"/>
      <c r="AH26" s="5996">
        <f t="shared" si="11"/>
        <v>0</v>
      </c>
      <c r="AI26" s="5996"/>
      <c r="AJ26" s="5996"/>
      <c r="AK26" s="5996"/>
      <c r="AL26" s="297"/>
      <c r="AM26" s="297"/>
      <c r="AN26" s="5997"/>
    </row>
    <row r="27" spans="1:45" s="596" customFormat="1">
      <c r="A27" s="593">
        <v>15</v>
      </c>
      <c r="B27" s="594" t="s">
        <v>668</v>
      </c>
      <c r="C27" s="5120">
        <f t="shared" si="9"/>
        <v>50582</v>
      </c>
      <c r="D27" s="5120">
        <f t="shared" si="8"/>
        <v>0</v>
      </c>
      <c r="E27" s="5120"/>
      <c r="F27" s="5120"/>
      <c r="G27" s="5960"/>
      <c r="H27" s="5120"/>
      <c r="I27" s="5960"/>
      <c r="J27" s="5120"/>
      <c r="K27" s="5120"/>
      <c r="L27" s="5120"/>
      <c r="M27" s="5120"/>
      <c r="N27" s="5120"/>
      <c r="O27" s="5120"/>
      <c r="P27" s="4775">
        <f t="shared" si="10"/>
        <v>50582</v>
      </c>
      <c r="Q27" s="4775">
        <v>109</v>
      </c>
      <c r="R27" s="598"/>
      <c r="S27" s="598"/>
      <c r="T27" s="4775"/>
      <c r="U27" s="4775"/>
      <c r="V27" s="4775"/>
      <c r="W27" s="4775"/>
      <c r="X27" s="4775"/>
      <c r="Y27" s="4775">
        <f>30000</f>
        <v>30000</v>
      </c>
      <c r="Z27" s="4775">
        <v>4000</v>
      </c>
      <c r="AA27" s="595">
        <v>16473</v>
      </c>
      <c r="AB27" s="4775"/>
      <c r="AC27" s="4775"/>
      <c r="AD27" s="5996"/>
      <c r="AE27" s="5996"/>
      <c r="AF27" s="5996"/>
      <c r="AG27" s="5996"/>
      <c r="AH27" s="5996">
        <f t="shared" si="11"/>
        <v>0</v>
      </c>
      <c r="AI27" s="5996"/>
      <c r="AJ27" s="5996"/>
      <c r="AK27" s="5996"/>
      <c r="AL27" s="297"/>
      <c r="AM27" s="297"/>
      <c r="AN27" s="5997"/>
    </row>
    <row r="28" spans="1:45" s="596" customFormat="1">
      <c r="A28" s="593">
        <v>16</v>
      </c>
      <c r="B28" s="594" t="s">
        <v>669</v>
      </c>
      <c r="C28" s="5120">
        <f t="shared" si="9"/>
        <v>159789</v>
      </c>
      <c r="D28" s="5120">
        <f t="shared" si="8"/>
        <v>0</v>
      </c>
      <c r="E28" s="5120"/>
      <c r="F28" s="5120"/>
      <c r="G28" s="5960"/>
      <c r="H28" s="5120"/>
      <c r="I28" s="5960"/>
      <c r="J28" s="5120"/>
      <c r="K28" s="5120"/>
      <c r="L28" s="5120"/>
      <c r="M28" s="5120"/>
      <c r="N28" s="5120"/>
      <c r="O28" s="5120"/>
      <c r="P28" s="4775">
        <f t="shared" si="10"/>
        <v>159789</v>
      </c>
      <c r="Q28" s="4775">
        <v>72605</v>
      </c>
      <c r="R28" s="5999"/>
      <c r="S28" s="4775"/>
      <c r="T28" s="4775"/>
      <c r="U28" s="598"/>
      <c r="V28" s="4775">
        <v>54131</v>
      </c>
      <c r="W28" s="598"/>
      <c r="X28" s="4775">
        <v>20115</v>
      </c>
      <c r="Y28" s="598"/>
      <c r="Z28" s="4775">
        <v>545</v>
      </c>
      <c r="AA28" s="598">
        <v>12393</v>
      </c>
      <c r="AB28" s="4775"/>
      <c r="AC28" s="4775"/>
      <c r="AD28" s="5996"/>
      <c r="AE28" s="5996"/>
      <c r="AF28" s="5996"/>
      <c r="AG28" s="5996"/>
      <c r="AH28" s="5996">
        <f t="shared" si="11"/>
        <v>0</v>
      </c>
      <c r="AI28" s="5996"/>
      <c r="AJ28" s="5996"/>
      <c r="AK28" s="5996"/>
      <c r="AL28" s="297"/>
      <c r="AM28" s="297"/>
      <c r="AN28" s="5997"/>
    </row>
    <row r="29" spans="1:45" s="596" customFormat="1">
      <c r="A29" s="593">
        <v>17</v>
      </c>
      <c r="B29" s="594" t="s">
        <v>670</v>
      </c>
      <c r="C29" s="5120">
        <f t="shared" si="9"/>
        <v>58811</v>
      </c>
      <c r="D29" s="5120">
        <f t="shared" si="8"/>
        <v>0</v>
      </c>
      <c r="E29" s="5120"/>
      <c r="F29" s="5120"/>
      <c r="G29" s="5960"/>
      <c r="H29" s="5120"/>
      <c r="I29" s="5960"/>
      <c r="J29" s="5120"/>
      <c r="K29" s="5120"/>
      <c r="L29" s="5120"/>
      <c r="M29" s="5120"/>
      <c r="N29" s="5120"/>
      <c r="O29" s="5120"/>
      <c r="P29" s="4775">
        <f t="shared" si="10"/>
        <v>58311</v>
      </c>
      <c r="Q29" s="4775">
        <v>645</v>
      </c>
      <c r="R29" s="598"/>
      <c r="S29" s="4775"/>
      <c r="T29" s="4775"/>
      <c r="U29" s="598"/>
      <c r="V29" s="4775"/>
      <c r="W29" s="4775">
        <v>19684</v>
      </c>
      <c r="X29" s="598"/>
      <c r="Y29" s="4775"/>
      <c r="Z29" s="4775">
        <v>23012</v>
      </c>
      <c r="AA29" s="598">
        <v>14970</v>
      </c>
      <c r="AB29" s="4775"/>
      <c r="AC29" s="4775"/>
      <c r="AD29" s="5996"/>
      <c r="AE29" s="5996"/>
      <c r="AF29" s="5996"/>
      <c r="AG29" s="5996"/>
      <c r="AH29" s="5996">
        <f t="shared" si="11"/>
        <v>500</v>
      </c>
      <c r="AI29" s="5996"/>
      <c r="AJ29" s="5996">
        <v>500</v>
      </c>
      <c r="AK29" s="5996"/>
      <c r="AL29" s="297"/>
      <c r="AM29" s="297"/>
      <c r="AN29" s="5997"/>
    </row>
    <row r="30" spans="1:45" s="596" customFormat="1">
      <c r="A30" s="593">
        <v>18</v>
      </c>
      <c r="B30" s="594" t="s">
        <v>671</v>
      </c>
      <c r="C30" s="5120">
        <f t="shared" si="9"/>
        <v>122626</v>
      </c>
      <c r="D30" s="5120">
        <f t="shared" si="8"/>
        <v>0</v>
      </c>
      <c r="E30" s="5120"/>
      <c r="F30" s="5120"/>
      <c r="G30" s="5960"/>
      <c r="H30" s="5120"/>
      <c r="I30" s="5960"/>
      <c r="J30" s="5120"/>
      <c r="K30" s="5120"/>
      <c r="L30" s="5120"/>
      <c r="M30" s="5120"/>
      <c r="N30" s="5120"/>
      <c r="O30" s="5120"/>
      <c r="P30" s="4775">
        <f t="shared" si="10"/>
        <v>62222</v>
      </c>
      <c r="Q30" s="595">
        <f>272+14115</f>
        <v>14387</v>
      </c>
      <c r="R30" s="598"/>
      <c r="S30" s="4775"/>
      <c r="T30" s="4775"/>
      <c r="U30" s="598"/>
      <c r="V30" s="4775"/>
      <c r="W30" s="4775"/>
      <c r="X30" s="4775"/>
      <c r="Y30" s="4775"/>
      <c r="Z30" s="4775">
        <v>27235</v>
      </c>
      <c r="AA30" s="598">
        <v>20600</v>
      </c>
      <c r="AB30" s="4775"/>
      <c r="AC30" s="4775"/>
      <c r="AD30" s="5996"/>
      <c r="AE30" s="5996"/>
      <c r="AF30" s="5996"/>
      <c r="AG30" s="5996"/>
      <c r="AH30" s="5996">
        <f t="shared" si="11"/>
        <v>60404</v>
      </c>
      <c r="AI30" s="5996"/>
      <c r="AJ30" s="5996">
        <f>'Phụ lục số 6'!E37+1750</f>
        <v>60404</v>
      </c>
      <c r="AK30" s="5996"/>
      <c r="AL30" s="297"/>
      <c r="AM30" s="297"/>
      <c r="AN30" s="5997"/>
    </row>
    <row r="31" spans="1:45" s="596" customFormat="1">
      <c r="A31" s="593">
        <v>19</v>
      </c>
      <c r="B31" s="594" t="s">
        <v>672</v>
      </c>
      <c r="C31" s="5120">
        <f t="shared" si="9"/>
        <v>169872</v>
      </c>
      <c r="D31" s="5120">
        <f t="shared" si="8"/>
        <v>0</v>
      </c>
      <c r="E31" s="5120"/>
      <c r="F31" s="5120"/>
      <c r="G31" s="5960"/>
      <c r="H31" s="5120"/>
      <c r="I31" s="5960"/>
      <c r="J31" s="5120"/>
      <c r="K31" s="5120"/>
      <c r="L31" s="5120"/>
      <c r="M31" s="5120"/>
      <c r="N31" s="5120"/>
      <c r="O31" s="5120"/>
      <c r="P31" s="4775">
        <f t="shared" si="10"/>
        <v>169872</v>
      </c>
      <c r="Q31" s="4775">
        <v>88678</v>
      </c>
      <c r="R31" s="4775"/>
      <c r="S31" s="598"/>
      <c r="T31" s="4775"/>
      <c r="U31" s="598"/>
      <c r="V31" s="4775"/>
      <c r="W31" s="4775"/>
      <c r="X31" s="4775"/>
      <c r="Y31" s="4775">
        <v>0</v>
      </c>
      <c r="Z31" s="598"/>
      <c r="AA31" s="598">
        <v>13121</v>
      </c>
      <c r="AB31" s="4775">
        <v>68073</v>
      </c>
      <c r="AC31" s="4775"/>
      <c r="AD31" s="5996"/>
      <c r="AE31" s="5996"/>
      <c r="AF31" s="5996"/>
      <c r="AG31" s="5996"/>
      <c r="AH31" s="5996">
        <f t="shared" si="11"/>
        <v>0</v>
      </c>
      <c r="AI31" s="5996"/>
      <c r="AJ31" s="5996"/>
      <c r="AK31" s="5996"/>
      <c r="AL31" s="297"/>
      <c r="AM31" s="328"/>
      <c r="AN31" s="1656"/>
    </row>
    <row r="32" spans="1:45" s="596" customFormat="1">
      <c r="A32" s="593">
        <v>20</v>
      </c>
      <c r="B32" s="594" t="s">
        <v>673</v>
      </c>
      <c r="C32" s="5120">
        <f t="shared" si="9"/>
        <v>16270</v>
      </c>
      <c r="D32" s="5120">
        <f t="shared" si="8"/>
        <v>0</v>
      </c>
      <c r="E32" s="5120"/>
      <c r="F32" s="5120"/>
      <c r="G32" s="5960"/>
      <c r="H32" s="5120"/>
      <c r="I32" s="5960"/>
      <c r="J32" s="5120"/>
      <c r="K32" s="5120"/>
      <c r="L32" s="5120"/>
      <c r="M32" s="5120"/>
      <c r="N32" s="5120"/>
      <c r="O32" s="5120"/>
      <c r="P32" s="4775">
        <f t="shared" si="10"/>
        <v>16270</v>
      </c>
      <c r="Q32" s="4775">
        <v>287</v>
      </c>
      <c r="R32" s="4775"/>
      <c r="S32" s="4775"/>
      <c r="T32" s="4775"/>
      <c r="U32" s="598"/>
      <c r="V32" s="4775"/>
      <c r="W32" s="4775"/>
      <c r="X32" s="4775"/>
      <c r="Y32" s="4775"/>
      <c r="Z32" s="4775"/>
      <c r="AA32" s="598">
        <v>15983</v>
      </c>
      <c r="AB32" s="4775"/>
      <c r="AC32" s="4775"/>
      <c r="AD32" s="5996"/>
      <c r="AE32" s="5996"/>
      <c r="AF32" s="5996"/>
      <c r="AG32" s="5996"/>
      <c r="AH32" s="5996">
        <f t="shared" si="11"/>
        <v>0</v>
      </c>
      <c r="AI32" s="5996"/>
      <c r="AJ32" s="5996"/>
      <c r="AK32" s="5996"/>
      <c r="AL32" s="297"/>
      <c r="AM32" s="297"/>
      <c r="AN32" s="5997"/>
    </row>
    <row r="33" spans="1:44" s="596" customFormat="1">
      <c r="A33" s="593">
        <v>21</v>
      </c>
      <c r="B33" s="594" t="s">
        <v>674</v>
      </c>
      <c r="C33" s="5120">
        <f t="shared" si="9"/>
        <v>24710</v>
      </c>
      <c r="D33" s="5120">
        <f t="shared" si="8"/>
        <v>0</v>
      </c>
      <c r="E33" s="5120"/>
      <c r="F33" s="5120"/>
      <c r="G33" s="5960"/>
      <c r="H33" s="5120"/>
      <c r="I33" s="5960"/>
      <c r="J33" s="5120"/>
      <c r="K33" s="5120"/>
      <c r="L33" s="5120"/>
      <c r="M33" s="5120"/>
      <c r="N33" s="5120"/>
      <c r="O33" s="5120"/>
      <c r="P33" s="4775">
        <f t="shared" si="10"/>
        <v>24710</v>
      </c>
      <c r="Q33" s="4775">
        <v>24710</v>
      </c>
      <c r="R33" s="4775"/>
      <c r="S33" s="4775"/>
      <c r="T33" s="4775"/>
      <c r="U33" s="598"/>
      <c r="V33" s="4775"/>
      <c r="W33" s="4775"/>
      <c r="X33" s="4775"/>
      <c r="Y33" s="4775"/>
      <c r="Z33" s="4775"/>
      <c r="AA33" s="4775"/>
      <c r="AB33" s="4775"/>
      <c r="AC33" s="4775"/>
      <c r="AD33" s="5996"/>
      <c r="AE33" s="5996"/>
      <c r="AF33" s="5996"/>
      <c r="AG33" s="5996"/>
      <c r="AH33" s="5996">
        <f t="shared" si="11"/>
        <v>0</v>
      </c>
      <c r="AI33" s="5996"/>
      <c r="AJ33" s="5996"/>
      <c r="AK33" s="5996"/>
      <c r="AL33" s="297"/>
      <c r="AM33" s="297"/>
      <c r="AN33" s="5997"/>
    </row>
    <row r="34" spans="1:44" s="596" customFormat="1">
      <c r="A34" s="593">
        <v>22</v>
      </c>
      <c r="B34" s="594" t="s">
        <v>675</v>
      </c>
      <c r="C34" s="5120">
        <f t="shared" si="9"/>
        <v>32129</v>
      </c>
      <c r="D34" s="5120">
        <f t="shared" si="8"/>
        <v>0</v>
      </c>
      <c r="E34" s="5120"/>
      <c r="F34" s="5120"/>
      <c r="G34" s="5960"/>
      <c r="H34" s="5120"/>
      <c r="I34" s="5960"/>
      <c r="J34" s="5120"/>
      <c r="K34" s="5120"/>
      <c r="L34" s="5120"/>
      <c r="M34" s="5120"/>
      <c r="N34" s="5120"/>
      <c r="O34" s="5120"/>
      <c r="P34" s="4775">
        <f t="shared" si="10"/>
        <v>32129</v>
      </c>
      <c r="Q34" s="4775">
        <f>32351-222</f>
        <v>32129</v>
      </c>
      <c r="R34" s="4775"/>
      <c r="S34" s="4775"/>
      <c r="T34" s="4775"/>
      <c r="U34" s="598"/>
      <c r="V34" s="4775"/>
      <c r="W34" s="4775"/>
      <c r="X34" s="4775"/>
      <c r="Y34" s="4775"/>
      <c r="Z34" s="4775"/>
      <c r="AA34" s="4775"/>
      <c r="AB34" s="4775"/>
      <c r="AC34" s="4775"/>
      <c r="AD34" s="5996"/>
      <c r="AE34" s="5996"/>
      <c r="AF34" s="5996"/>
      <c r="AG34" s="5996"/>
      <c r="AH34" s="5996">
        <f t="shared" si="11"/>
        <v>0</v>
      </c>
      <c r="AI34" s="5996"/>
      <c r="AJ34" s="5996"/>
      <c r="AK34" s="5996"/>
      <c r="AL34" s="297"/>
      <c r="AM34" s="297"/>
      <c r="AN34" s="5997"/>
    </row>
    <row r="35" spans="1:44" s="596" customFormat="1">
      <c r="A35" s="593">
        <v>23</v>
      </c>
      <c r="B35" s="594" t="s">
        <v>676</v>
      </c>
      <c r="C35" s="5120">
        <f t="shared" si="9"/>
        <v>10534</v>
      </c>
      <c r="D35" s="5120">
        <f t="shared" si="8"/>
        <v>0</v>
      </c>
      <c r="E35" s="5120"/>
      <c r="F35" s="5120"/>
      <c r="G35" s="5960"/>
      <c r="H35" s="5120"/>
      <c r="I35" s="5960"/>
      <c r="J35" s="5120"/>
      <c r="K35" s="5120"/>
      <c r="L35" s="5120"/>
      <c r="M35" s="5120"/>
      <c r="N35" s="5120"/>
      <c r="O35" s="5120"/>
      <c r="P35" s="4775">
        <f t="shared" si="10"/>
        <v>10534</v>
      </c>
      <c r="Q35" s="4775">
        <v>10534</v>
      </c>
      <c r="R35" s="4775"/>
      <c r="S35" s="4775"/>
      <c r="T35" s="4775"/>
      <c r="U35" s="4775"/>
      <c r="V35" s="4775"/>
      <c r="W35" s="4775"/>
      <c r="X35" s="4775"/>
      <c r="Y35" s="4775"/>
      <c r="Z35" s="4775"/>
      <c r="AA35" s="4775"/>
      <c r="AB35" s="4775"/>
      <c r="AC35" s="4775"/>
      <c r="AD35" s="5996"/>
      <c r="AE35" s="5996"/>
      <c r="AF35" s="5996"/>
      <c r="AG35" s="5996"/>
      <c r="AH35" s="5996">
        <f t="shared" si="11"/>
        <v>0</v>
      </c>
      <c r="AI35" s="5996"/>
      <c r="AJ35" s="5996"/>
      <c r="AK35" s="5996"/>
      <c r="AL35" s="297"/>
      <c r="AM35" s="297"/>
      <c r="AN35" s="5997"/>
    </row>
    <row r="36" spans="1:44" s="596" customFormat="1">
      <c r="A36" s="593">
        <v>24</v>
      </c>
      <c r="B36" s="594" t="s">
        <v>677</v>
      </c>
      <c r="C36" s="5120">
        <f t="shared" si="9"/>
        <v>16765</v>
      </c>
      <c r="D36" s="5120">
        <f t="shared" si="8"/>
        <v>0</v>
      </c>
      <c r="E36" s="5120"/>
      <c r="F36" s="5120"/>
      <c r="G36" s="5960"/>
      <c r="H36" s="5120"/>
      <c r="I36" s="5960"/>
      <c r="J36" s="5120"/>
      <c r="K36" s="5120"/>
      <c r="L36" s="5120"/>
      <c r="M36" s="5120"/>
      <c r="N36" s="5120"/>
      <c r="O36" s="5120"/>
      <c r="P36" s="4775">
        <f t="shared" si="10"/>
        <v>16765</v>
      </c>
      <c r="Q36" s="4775">
        <v>102</v>
      </c>
      <c r="R36" s="4775"/>
      <c r="S36" s="4775"/>
      <c r="T36" s="4775"/>
      <c r="U36" s="4775"/>
      <c r="V36" s="4775"/>
      <c r="W36" s="4775"/>
      <c r="X36" s="4775"/>
      <c r="Y36" s="4775">
        <v>161</v>
      </c>
      <c r="Z36" s="4775">
        <v>7004</v>
      </c>
      <c r="AA36" s="4775">
        <v>9498</v>
      </c>
      <c r="AB36" s="4775"/>
      <c r="AC36" s="4775"/>
      <c r="AD36" s="5996"/>
      <c r="AE36" s="5996"/>
      <c r="AF36" s="5996"/>
      <c r="AG36" s="5996"/>
      <c r="AH36" s="5996">
        <f t="shared" si="11"/>
        <v>0</v>
      </c>
      <c r="AI36" s="5996"/>
      <c r="AJ36" s="5996"/>
      <c r="AK36" s="5996"/>
      <c r="AL36" s="297"/>
      <c r="AM36" s="297"/>
      <c r="AN36" s="5997"/>
    </row>
    <row r="37" spans="1:44" s="596" customFormat="1">
      <c r="A37" s="593">
        <v>25</v>
      </c>
      <c r="B37" s="594" t="s">
        <v>678</v>
      </c>
      <c r="C37" s="5120">
        <f t="shared" si="9"/>
        <v>13825</v>
      </c>
      <c r="D37" s="5120">
        <f t="shared" si="8"/>
        <v>0</v>
      </c>
      <c r="E37" s="5120"/>
      <c r="F37" s="5120"/>
      <c r="G37" s="5960"/>
      <c r="H37" s="5120"/>
      <c r="I37" s="5960"/>
      <c r="J37" s="5120"/>
      <c r="K37" s="5120"/>
      <c r="L37" s="5120"/>
      <c r="M37" s="5120"/>
      <c r="N37" s="5120"/>
      <c r="O37" s="5120"/>
      <c r="P37" s="4775">
        <f t="shared" si="10"/>
        <v>2778</v>
      </c>
      <c r="Q37" s="4775"/>
      <c r="R37" s="598"/>
      <c r="S37" s="4775"/>
      <c r="T37" s="4775"/>
      <c r="U37" s="4775"/>
      <c r="V37" s="4775"/>
      <c r="W37" s="4775"/>
      <c r="X37" s="4775"/>
      <c r="Y37" s="4775"/>
      <c r="Z37" s="4775">
        <v>2778</v>
      </c>
      <c r="AA37" s="4775"/>
      <c r="AB37" s="4775"/>
      <c r="AC37" s="4775"/>
      <c r="AD37" s="5996"/>
      <c r="AE37" s="5996"/>
      <c r="AF37" s="5996"/>
      <c r="AG37" s="5996"/>
      <c r="AH37" s="5996">
        <f t="shared" si="11"/>
        <v>11047</v>
      </c>
      <c r="AI37" s="5996"/>
      <c r="AJ37" s="5996">
        <f>'Phụ lục số 6'!E36-1750</f>
        <v>11047</v>
      </c>
      <c r="AK37" s="5996"/>
      <c r="AL37" s="297"/>
      <c r="AM37" s="297"/>
      <c r="AN37" s="5997"/>
    </row>
    <row r="38" spans="1:44" s="596" customFormat="1" ht="34.799999999999997">
      <c r="A38" s="622">
        <v>26</v>
      </c>
      <c r="B38" s="623" t="s">
        <v>679</v>
      </c>
      <c r="C38" s="5128">
        <f>D38+P38+AD38+AE38+AH38+AL38+AF38+AG38+AK38+AM38</f>
        <v>38522</v>
      </c>
      <c r="D38" s="5128">
        <f t="shared" si="8"/>
        <v>0</v>
      </c>
      <c r="E38" s="5128"/>
      <c r="F38" s="5128"/>
      <c r="G38" s="5124"/>
      <c r="H38" s="5128"/>
      <c r="I38" s="5124"/>
      <c r="J38" s="5128"/>
      <c r="K38" s="5128"/>
      <c r="L38" s="5128"/>
      <c r="M38" s="5128"/>
      <c r="N38" s="5128"/>
      <c r="O38" s="5128"/>
      <c r="P38" s="595">
        <f>SUM(Q38:AC38)</f>
        <v>26181.000000000004</v>
      </c>
      <c r="Q38" s="595"/>
      <c r="R38" s="595"/>
      <c r="S38" s="595"/>
      <c r="T38" s="595"/>
      <c r="U38" s="595"/>
      <c r="V38" s="595"/>
      <c r="W38" s="595"/>
      <c r="X38" s="595"/>
      <c r="Y38" s="595"/>
      <c r="Z38" s="5963">
        <f>90829-62511.59-2136.41</f>
        <v>26181.000000000004</v>
      </c>
      <c r="AA38" s="595"/>
      <c r="AB38" s="595"/>
      <c r="AC38" s="595"/>
      <c r="AD38" s="5117"/>
      <c r="AE38" s="5117"/>
      <c r="AF38" s="5117"/>
      <c r="AG38" s="5117"/>
      <c r="AH38" s="5117">
        <f t="shared" si="11"/>
        <v>12341</v>
      </c>
      <c r="AI38" s="5117"/>
      <c r="AJ38" s="5117">
        <f>+'Phụ lục số 6'!E33-'Phụ lục số 8'!C20</f>
        <v>12341</v>
      </c>
      <c r="AK38" s="5117"/>
      <c r="AL38" s="330"/>
      <c r="AM38" s="330"/>
      <c r="AN38" s="5997"/>
      <c r="AO38" s="596" t="s">
        <v>3210</v>
      </c>
    </row>
    <row r="39" spans="1:44" s="596" customFormat="1" ht="34.799999999999997" hidden="1">
      <c r="A39" s="622">
        <v>27</v>
      </c>
      <c r="B39" s="623" t="s">
        <v>3250</v>
      </c>
      <c r="C39" s="5128"/>
      <c r="D39" s="5128"/>
      <c r="E39" s="5128"/>
      <c r="F39" s="5128"/>
      <c r="G39" s="5124"/>
      <c r="H39" s="5128"/>
      <c r="I39" s="5124"/>
      <c r="J39" s="5128"/>
      <c r="K39" s="5128"/>
      <c r="L39" s="5128"/>
      <c r="M39" s="5128"/>
      <c r="N39" s="5128"/>
      <c r="O39" s="5128"/>
      <c r="P39" s="595">
        <f t="shared" ref="P39:P40" si="12">SUM(Q39:AC39)</f>
        <v>0</v>
      </c>
      <c r="Q39" s="595"/>
      <c r="R39" s="595"/>
      <c r="S39" s="595"/>
      <c r="T39" s="595"/>
      <c r="U39" s="595"/>
      <c r="V39" s="595"/>
      <c r="W39" s="595"/>
      <c r="X39" s="595"/>
      <c r="Y39" s="595"/>
      <c r="Z39" s="595">
        <v>0</v>
      </c>
      <c r="AA39" s="595"/>
      <c r="AB39" s="595"/>
      <c r="AC39" s="595"/>
      <c r="AD39" s="5117"/>
      <c r="AE39" s="5117"/>
      <c r="AF39" s="5117"/>
      <c r="AG39" s="5117"/>
      <c r="AH39" s="5117"/>
      <c r="AI39" s="5117"/>
      <c r="AJ39" s="5117"/>
      <c r="AK39" s="5117"/>
      <c r="AL39" s="330"/>
      <c r="AM39" s="330"/>
      <c r="AN39" s="5997"/>
    </row>
    <row r="40" spans="1:44" s="596" customFormat="1" ht="34.799999999999997" hidden="1">
      <c r="A40" s="622">
        <v>28</v>
      </c>
      <c r="B40" s="623" t="s">
        <v>3251</v>
      </c>
      <c r="C40" s="5128"/>
      <c r="D40" s="5128"/>
      <c r="E40" s="5128"/>
      <c r="F40" s="5128"/>
      <c r="G40" s="5124"/>
      <c r="H40" s="5128"/>
      <c r="I40" s="5124"/>
      <c r="J40" s="5128"/>
      <c r="K40" s="5128"/>
      <c r="L40" s="5128"/>
      <c r="M40" s="5128"/>
      <c r="N40" s="5128"/>
      <c r="O40" s="5128"/>
      <c r="P40" s="595">
        <f t="shared" si="12"/>
        <v>0</v>
      </c>
      <c r="Q40" s="595"/>
      <c r="R40" s="595"/>
      <c r="S40" s="595"/>
      <c r="T40" s="595"/>
      <c r="U40" s="595"/>
      <c r="V40" s="595"/>
      <c r="W40" s="595"/>
      <c r="X40" s="595"/>
      <c r="Y40" s="595"/>
      <c r="Z40" s="595">
        <v>0</v>
      </c>
      <c r="AA40" s="595"/>
      <c r="AB40" s="595"/>
      <c r="AC40" s="595"/>
      <c r="AD40" s="5117"/>
      <c r="AE40" s="5117"/>
      <c r="AF40" s="5117"/>
      <c r="AG40" s="5117"/>
      <c r="AH40" s="5117"/>
      <c r="AI40" s="5117"/>
      <c r="AJ40" s="5117"/>
      <c r="AK40" s="5117"/>
      <c r="AL40" s="330"/>
      <c r="AM40" s="330"/>
      <c r="AN40" s="5997"/>
    </row>
    <row r="41" spans="1:44" s="596" customFormat="1">
      <c r="A41" s="593">
        <v>27</v>
      </c>
      <c r="B41" s="594" t="s">
        <v>680</v>
      </c>
      <c r="C41" s="5120">
        <f t="shared" si="9"/>
        <v>22478</v>
      </c>
      <c r="D41" s="5120">
        <f t="shared" si="8"/>
        <v>0</v>
      </c>
      <c r="E41" s="5120"/>
      <c r="F41" s="5120"/>
      <c r="G41" s="5960"/>
      <c r="H41" s="5120"/>
      <c r="I41" s="5960"/>
      <c r="J41" s="5120"/>
      <c r="K41" s="5120"/>
      <c r="L41" s="5120"/>
      <c r="M41" s="5120"/>
      <c r="N41" s="5120"/>
      <c r="O41" s="5120"/>
      <c r="P41" s="4775">
        <f t="shared" si="10"/>
        <v>22478</v>
      </c>
      <c r="Q41" s="4775">
        <v>38</v>
      </c>
      <c r="R41" s="4775"/>
      <c r="S41" s="4775"/>
      <c r="T41" s="4775"/>
      <c r="U41" s="4775"/>
      <c r="V41" s="4775">
        <v>1500</v>
      </c>
      <c r="W41" s="4775"/>
      <c r="X41" s="4775"/>
      <c r="Y41" s="4775"/>
      <c r="Z41" s="4775">
        <f>20777+163</f>
        <v>20940</v>
      </c>
      <c r="AA41" s="4775"/>
      <c r="AB41" s="4775"/>
      <c r="AC41" s="4775"/>
      <c r="AD41" s="5996"/>
      <c r="AE41" s="5996"/>
      <c r="AF41" s="5996"/>
      <c r="AG41" s="5996"/>
      <c r="AH41" s="5996">
        <f t="shared" si="11"/>
        <v>0</v>
      </c>
      <c r="AI41" s="5996"/>
      <c r="AJ41" s="5996"/>
      <c r="AK41" s="5996"/>
      <c r="AL41" s="297"/>
      <c r="AM41" s="297"/>
      <c r="AN41" s="5997"/>
      <c r="AR41" s="597">
        <f>+Z38-26181</f>
        <v>0</v>
      </c>
    </row>
    <row r="42" spans="1:44" s="596" customFormat="1">
      <c r="A42" s="593">
        <v>28</v>
      </c>
      <c r="B42" s="594" t="s">
        <v>681</v>
      </c>
      <c r="C42" s="5120">
        <f t="shared" si="9"/>
        <v>28621</v>
      </c>
      <c r="D42" s="5120">
        <f t="shared" si="8"/>
        <v>0</v>
      </c>
      <c r="E42" s="5120"/>
      <c r="F42" s="5120"/>
      <c r="G42" s="5960"/>
      <c r="H42" s="5120"/>
      <c r="I42" s="5960"/>
      <c r="J42" s="5120"/>
      <c r="K42" s="5120"/>
      <c r="L42" s="5120"/>
      <c r="M42" s="5120"/>
      <c r="N42" s="5120"/>
      <c r="O42" s="5120"/>
      <c r="P42" s="4775">
        <f t="shared" si="10"/>
        <v>28621</v>
      </c>
      <c r="Q42" s="4775">
        <v>46</v>
      </c>
      <c r="R42" s="4775"/>
      <c r="S42" s="4775"/>
      <c r="T42" s="4775"/>
      <c r="U42" s="4775"/>
      <c r="V42" s="4775"/>
      <c r="W42" s="4775"/>
      <c r="X42" s="4775"/>
      <c r="Y42" s="4775">
        <v>28575</v>
      </c>
      <c r="Z42" s="4775"/>
      <c r="AA42" s="4775"/>
      <c r="AB42" s="4775"/>
      <c r="AC42" s="4775"/>
      <c r="AD42" s="5996"/>
      <c r="AE42" s="5996"/>
      <c r="AF42" s="5996"/>
      <c r="AG42" s="5996"/>
      <c r="AH42" s="5996">
        <f t="shared" si="11"/>
        <v>0</v>
      </c>
      <c r="AI42" s="5996"/>
      <c r="AJ42" s="5996"/>
      <c r="AK42" s="5996"/>
      <c r="AL42" s="297"/>
      <c r="AM42" s="297"/>
      <c r="AN42" s="5997"/>
    </row>
    <row r="43" spans="1:44" s="596" customFormat="1" hidden="1">
      <c r="A43" s="593"/>
      <c r="B43" s="594"/>
      <c r="C43" s="5120">
        <f t="shared" si="9"/>
        <v>0</v>
      </c>
      <c r="D43" s="5120">
        <f t="shared" si="8"/>
        <v>0</v>
      </c>
      <c r="E43" s="5120"/>
      <c r="F43" s="5120"/>
      <c r="G43" s="5960"/>
      <c r="H43" s="5120"/>
      <c r="I43" s="5960"/>
      <c r="J43" s="5120"/>
      <c r="K43" s="5120"/>
      <c r="L43" s="5120"/>
      <c r="M43" s="5120"/>
      <c r="N43" s="5120"/>
      <c r="O43" s="5120"/>
      <c r="P43" s="4775">
        <f t="shared" si="10"/>
        <v>0</v>
      </c>
      <c r="Q43" s="4775"/>
      <c r="R43" s="4775"/>
      <c r="S43" s="4775"/>
      <c r="T43" s="4775"/>
      <c r="U43" s="4775"/>
      <c r="V43" s="4775"/>
      <c r="W43" s="4775"/>
      <c r="X43" s="4775"/>
      <c r="Y43" s="4775"/>
      <c r="Z43" s="4775"/>
      <c r="AA43" s="4775"/>
      <c r="AB43" s="4775"/>
      <c r="AC43" s="4775"/>
      <c r="AD43" s="5996"/>
      <c r="AE43" s="5996"/>
      <c r="AF43" s="5996"/>
      <c r="AG43" s="5996"/>
      <c r="AH43" s="5996">
        <f t="shared" si="11"/>
        <v>0</v>
      </c>
      <c r="AI43" s="5996"/>
      <c r="AJ43" s="5996"/>
      <c r="AK43" s="5996"/>
      <c r="AL43" s="297"/>
      <c r="AM43" s="297"/>
      <c r="AN43" s="5997"/>
    </row>
    <row r="44" spans="1:44" s="596" customFormat="1" ht="34.799999999999997">
      <c r="A44" s="599" t="s">
        <v>33</v>
      </c>
      <c r="B44" s="600" t="s">
        <v>682</v>
      </c>
      <c r="C44" s="5966">
        <f>SUM(C45,C51)</f>
        <v>67777</v>
      </c>
      <c r="D44" s="5966">
        <f t="shared" ref="D44:AM44" si="13">SUM(D45,D51)</f>
        <v>0</v>
      </c>
      <c r="E44" s="5966">
        <f t="shared" si="13"/>
        <v>0</v>
      </c>
      <c r="F44" s="5966">
        <f t="shared" si="13"/>
        <v>0</v>
      </c>
      <c r="G44" s="5967"/>
      <c r="H44" s="5966">
        <f t="shared" si="13"/>
        <v>0</v>
      </c>
      <c r="I44" s="5967"/>
      <c r="J44" s="5966">
        <f t="shared" si="13"/>
        <v>0</v>
      </c>
      <c r="K44" s="5966"/>
      <c r="L44" s="5966"/>
      <c r="M44" s="5966"/>
      <c r="N44" s="5966"/>
      <c r="O44" s="5966"/>
      <c r="P44" s="5966">
        <f>SUM(P45,P51)</f>
        <v>67277</v>
      </c>
      <c r="Q44" s="5966">
        <f t="shared" si="13"/>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f t="shared" si="13"/>
        <v>0</v>
      </c>
      <c r="AL44" s="5966">
        <f t="shared" si="13"/>
        <v>0</v>
      </c>
      <c r="AM44" s="5966">
        <f t="shared" si="13"/>
        <v>0</v>
      </c>
      <c r="AN44" s="5997"/>
      <c r="AQ44" s="5204">
        <f>+Z38*1000000</f>
        <v>26181000000.000004</v>
      </c>
    </row>
    <row r="45" spans="1:44" s="596" customFormat="1">
      <c r="A45" s="52" t="s">
        <v>683</v>
      </c>
      <c r="B45" s="601" t="s">
        <v>684</v>
      </c>
      <c r="C45" s="5117">
        <f>SUM(C46:C50)</f>
        <v>38185</v>
      </c>
      <c r="D45" s="5117">
        <f t="shared" ref="D45:AM45" si="14">SUM(D46:D50)</f>
        <v>0</v>
      </c>
      <c r="E45" s="5117">
        <f t="shared" si="14"/>
        <v>0</v>
      </c>
      <c r="F45" s="5117">
        <f t="shared" si="14"/>
        <v>0</v>
      </c>
      <c r="G45" s="5116"/>
      <c r="H45" s="5117">
        <f t="shared" si="14"/>
        <v>0</v>
      </c>
      <c r="I45" s="5116"/>
      <c r="J45" s="5117">
        <f t="shared" si="14"/>
        <v>0</v>
      </c>
      <c r="K45" s="5117"/>
      <c r="L45" s="5117"/>
      <c r="M45" s="5117"/>
      <c r="N45" s="5117"/>
      <c r="O45" s="5117"/>
      <c r="P45" s="5117">
        <f t="shared" si="14"/>
        <v>38185</v>
      </c>
      <c r="Q45" s="5117">
        <f t="shared" si="14"/>
        <v>2921</v>
      </c>
      <c r="R45" s="5117">
        <f t="shared" si="14"/>
        <v>75</v>
      </c>
      <c r="S45" s="5117">
        <f t="shared" si="14"/>
        <v>0</v>
      </c>
      <c r="T45" s="5117">
        <f t="shared" si="14"/>
        <v>0</v>
      </c>
      <c r="U45" s="5117">
        <f t="shared" si="14"/>
        <v>0</v>
      </c>
      <c r="V45" s="5117">
        <f t="shared" si="14"/>
        <v>0</v>
      </c>
      <c r="W45" s="5117">
        <f t="shared" si="14"/>
        <v>0</v>
      </c>
      <c r="X45" s="5117">
        <f t="shared" si="14"/>
        <v>0</v>
      </c>
      <c r="Y45" s="5117">
        <f t="shared" si="14"/>
        <v>0</v>
      </c>
      <c r="Z45" s="5117">
        <f t="shared" si="14"/>
        <v>350</v>
      </c>
      <c r="AA45" s="5117">
        <f t="shared" si="14"/>
        <v>34839</v>
      </c>
      <c r="AB45" s="5117">
        <f t="shared" si="14"/>
        <v>0</v>
      </c>
      <c r="AC45" s="5117">
        <f t="shared" si="14"/>
        <v>0</v>
      </c>
      <c r="AD45" s="5117">
        <f t="shared" si="14"/>
        <v>0</v>
      </c>
      <c r="AE45" s="5117">
        <f t="shared" si="14"/>
        <v>0</v>
      </c>
      <c r="AF45" s="5117">
        <f t="shared" si="14"/>
        <v>0</v>
      </c>
      <c r="AG45" s="5117">
        <f t="shared" si="14"/>
        <v>0</v>
      </c>
      <c r="AH45" s="5117">
        <f t="shared" si="14"/>
        <v>0</v>
      </c>
      <c r="AI45" s="5117">
        <f t="shared" si="14"/>
        <v>0</v>
      </c>
      <c r="AJ45" s="5117">
        <f t="shared" si="14"/>
        <v>0</v>
      </c>
      <c r="AK45" s="5117">
        <f t="shared" si="14"/>
        <v>0</v>
      </c>
      <c r="AL45" s="5117">
        <f t="shared" si="14"/>
        <v>0</v>
      </c>
      <c r="AM45" s="5117">
        <f t="shared" si="14"/>
        <v>0</v>
      </c>
      <c r="AN45" s="5997"/>
    </row>
    <row r="46" spans="1:44" s="596" customFormat="1">
      <c r="A46" s="593">
        <f>A42+1</f>
        <v>29</v>
      </c>
      <c r="B46" s="594" t="s">
        <v>685</v>
      </c>
      <c r="C46" s="5120">
        <f t="shared" ref="C46:C56" si="15">D46+P46+AD46+AE46+AH46+AL46+AF46+AG46+AK46+AM46</f>
        <v>10828</v>
      </c>
      <c r="D46" s="5120">
        <f>SUM(E46:K46)</f>
        <v>0</v>
      </c>
      <c r="E46" s="5996"/>
      <c r="F46" s="5996"/>
      <c r="G46" s="629"/>
      <c r="H46" s="5996"/>
      <c r="I46" s="629"/>
      <c r="J46" s="5996"/>
      <c r="K46" s="5996"/>
      <c r="L46" s="5996"/>
      <c r="M46" s="5996"/>
      <c r="N46" s="5996"/>
      <c r="O46" s="5996"/>
      <c r="P46" s="4775">
        <f t="shared" ref="P46:P56" si="16">SUM(Q46:AC46)</f>
        <v>10828</v>
      </c>
      <c r="Q46" s="5996">
        <v>488</v>
      </c>
      <c r="R46" s="5996"/>
      <c r="S46" s="5996"/>
      <c r="T46" s="5996"/>
      <c r="U46" s="5996"/>
      <c r="V46" s="5996"/>
      <c r="W46" s="5996"/>
      <c r="X46" s="5996"/>
      <c r="Y46" s="5996"/>
      <c r="Z46" s="5996"/>
      <c r="AA46" s="5996">
        <v>10340</v>
      </c>
      <c r="AB46" s="5996"/>
      <c r="AC46" s="5996"/>
      <c r="AD46" s="5996"/>
      <c r="AE46" s="5996"/>
      <c r="AF46" s="5996"/>
      <c r="AG46" s="5996"/>
      <c r="AH46" s="5996">
        <f>SUM(AI46:AJ46)</f>
        <v>0</v>
      </c>
      <c r="AI46" s="5996"/>
      <c r="AJ46" s="5996"/>
      <c r="AK46" s="5996"/>
      <c r="AL46" s="297"/>
      <c r="AM46" s="297"/>
      <c r="AN46" s="5997"/>
      <c r="AO46" s="602"/>
    </row>
    <row r="47" spans="1:44" s="596" customFormat="1">
      <c r="A47" s="593">
        <f>A46+1</f>
        <v>30</v>
      </c>
      <c r="B47" s="594" t="s">
        <v>686</v>
      </c>
      <c r="C47" s="5120">
        <f t="shared" si="15"/>
        <v>9018</v>
      </c>
      <c r="D47" s="5120">
        <f>SUM(E47:K47)</f>
        <v>0</v>
      </c>
      <c r="E47" s="5996"/>
      <c r="F47" s="5996"/>
      <c r="G47" s="629"/>
      <c r="H47" s="5996"/>
      <c r="I47" s="629"/>
      <c r="J47" s="5996"/>
      <c r="K47" s="5996"/>
      <c r="L47" s="5996"/>
      <c r="M47" s="5996"/>
      <c r="N47" s="5996"/>
      <c r="O47" s="5996"/>
      <c r="P47" s="4775">
        <f t="shared" si="16"/>
        <v>9018</v>
      </c>
      <c r="Q47" s="5996">
        <v>746</v>
      </c>
      <c r="R47" s="5996"/>
      <c r="S47" s="5996"/>
      <c r="T47" s="5996"/>
      <c r="U47" s="5996"/>
      <c r="V47" s="5996"/>
      <c r="W47" s="5996"/>
      <c r="X47" s="5996"/>
      <c r="Y47" s="5996"/>
      <c r="Z47" s="5996">
        <v>350</v>
      </c>
      <c r="AA47" s="5996">
        <v>7922</v>
      </c>
      <c r="AB47" s="5996"/>
      <c r="AC47" s="5996"/>
      <c r="AD47" s="5996"/>
      <c r="AE47" s="5996"/>
      <c r="AF47" s="5996"/>
      <c r="AG47" s="5996"/>
      <c r="AH47" s="5996">
        <f t="shared" ref="AH47:AH50" si="17">SUM(AI47:AJ47)</f>
        <v>0</v>
      </c>
      <c r="AI47" s="5996"/>
      <c r="AJ47" s="5996"/>
      <c r="AK47" s="5996"/>
      <c r="AL47" s="297"/>
      <c r="AM47" s="297"/>
      <c r="AN47" s="5997"/>
    </row>
    <row r="48" spans="1:44" s="596" customFormat="1">
      <c r="A48" s="593">
        <f>A47+1</f>
        <v>31</v>
      </c>
      <c r="B48" s="594" t="s">
        <v>687</v>
      </c>
      <c r="C48" s="5120">
        <f t="shared" si="15"/>
        <v>8117</v>
      </c>
      <c r="D48" s="5120">
        <f>SUM(E48:K48)</f>
        <v>0</v>
      </c>
      <c r="E48" s="5996"/>
      <c r="F48" s="5996"/>
      <c r="G48" s="629"/>
      <c r="H48" s="5996"/>
      <c r="I48" s="629"/>
      <c r="J48" s="5996"/>
      <c r="K48" s="5996"/>
      <c r="L48" s="5996"/>
      <c r="M48" s="5996"/>
      <c r="N48" s="5996"/>
      <c r="O48" s="5996"/>
      <c r="P48" s="4775">
        <f t="shared" si="16"/>
        <v>8117</v>
      </c>
      <c r="Q48" s="5996">
        <v>1220</v>
      </c>
      <c r="R48" s="5996"/>
      <c r="S48" s="5996"/>
      <c r="T48" s="5996"/>
      <c r="U48" s="5996"/>
      <c r="V48" s="5996"/>
      <c r="W48" s="5996"/>
      <c r="X48" s="5996"/>
      <c r="Y48" s="5996"/>
      <c r="Z48" s="5996"/>
      <c r="AA48" s="5996">
        <v>6897</v>
      </c>
      <c r="AB48" s="5996"/>
      <c r="AC48" s="5996"/>
      <c r="AD48" s="5996"/>
      <c r="AE48" s="5996"/>
      <c r="AF48" s="5996"/>
      <c r="AG48" s="5996"/>
      <c r="AH48" s="5996">
        <f t="shared" si="17"/>
        <v>0</v>
      </c>
      <c r="AI48" s="5996"/>
      <c r="AJ48" s="5996"/>
      <c r="AK48" s="5996"/>
      <c r="AL48" s="297"/>
      <c r="AM48" s="297"/>
      <c r="AN48" s="5997"/>
    </row>
    <row r="49" spans="1:43" s="596" customFormat="1">
      <c r="A49" s="593">
        <f>A48+1</f>
        <v>32</v>
      </c>
      <c r="B49" s="594" t="s">
        <v>688</v>
      </c>
      <c r="C49" s="5120">
        <f t="shared" si="15"/>
        <v>6426</v>
      </c>
      <c r="D49" s="5120">
        <f>SUM(E49:K49)</f>
        <v>0</v>
      </c>
      <c r="E49" s="5996"/>
      <c r="F49" s="5996"/>
      <c r="G49" s="629"/>
      <c r="H49" s="5996"/>
      <c r="I49" s="629"/>
      <c r="J49" s="5996"/>
      <c r="K49" s="5996"/>
      <c r="L49" s="5996"/>
      <c r="M49" s="5996"/>
      <c r="N49" s="5996"/>
      <c r="O49" s="5996"/>
      <c r="P49" s="4775">
        <f t="shared" si="16"/>
        <v>6426</v>
      </c>
      <c r="Q49" s="5996">
        <v>180</v>
      </c>
      <c r="R49" s="5996">
        <v>75</v>
      </c>
      <c r="S49" s="5996"/>
      <c r="T49" s="5996"/>
      <c r="U49" s="5996"/>
      <c r="V49" s="5996"/>
      <c r="W49" s="5996"/>
      <c r="X49" s="5996"/>
      <c r="Y49" s="5996"/>
      <c r="Z49" s="5996">
        <v>0</v>
      </c>
      <c r="AA49" s="5996">
        <v>6171</v>
      </c>
      <c r="AB49" s="5996"/>
      <c r="AC49" s="5996"/>
      <c r="AD49" s="5996"/>
      <c r="AE49" s="5996"/>
      <c r="AF49" s="5996"/>
      <c r="AG49" s="5996"/>
      <c r="AH49" s="5996">
        <f t="shared" si="17"/>
        <v>0</v>
      </c>
      <c r="AI49" s="5996"/>
      <c r="AJ49" s="5996"/>
      <c r="AK49" s="5996"/>
      <c r="AL49" s="297"/>
      <c r="AM49" s="297"/>
      <c r="AN49" s="5997"/>
    </row>
    <row r="50" spans="1:43" s="596" customFormat="1">
      <c r="A50" s="593">
        <f>A49+1</f>
        <v>33</v>
      </c>
      <c r="B50" s="594" t="s">
        <v>689</v>
      </c>
      <c r="C50" s="5120">
        <f t="shared" si="15"/>
        <v>3796</v>
      </c>
      <c r="D50" s="5120">
        <f>SUM(E50:K50)</f>
        <v>0</v>
      </c>
      <c r="E50" s="5996"/>
      <c r="F50" s="5996"/>
      <c r="G50" s="629"/>
      <c r="H50" s="5996"/>
      <c r="I50" s="629"/>
      <c r="J50" s="5996"/>
      <c r="K50" s="5996"/>
      <c r="L50" s="5996"/>
      <c r="M50" s="5996"/>
      <c r="N50" s="5996"/>
      <c r="O50" s="5996"/>
      <c r="P50" s="4775">
        <f t="shared" si="16"/>
        <v>3796</v>
      </c>
      <c r="Q50" s="5996">
        <v>287</v>
      </c>
      <c r="R50" s="5996"/>
      <c r="S50" s="5996"/>
      <c r="T50" s="5996"/>
      <c r="U50" s="5996"/>
      <c r="V50" s="5996"/>
      <c r="W50" s="5996"/>
      <c r="X50" s="5996"/>
      <c r="Y50" s="5996"/>
      <c r="Z50" s="5996"/>
      <c r="AA50" s="5996">
        <v>3509</v>
      </c>
      <c r="AB50" s="5996"/>
      <c r="AC50" s="5996"/>
      <c r="AD50" s="5996"/>
      <c r="AE50" s="5996"/>
      <c r="AF50" s="5996"/>
      <c r="AG50" s="5996"/>
      <c r="AH50" s="5996">
        <f t="shared" si="17"/>
        <v>0</v>
      </c>
      <c r="AI50" s="5996"/>
      <c r="AJ50" s="5996"/>
      <c r="AK50" s="5996"/>
      <c r="AL50" s="297"/>
      <c r="AM50" s="297"/>
      <c r="AN50" s="5997"/>
      <c r="AQ50" s="596">
        <v>112736</v>
      </c>
    </row>
    <row r="51" spans="1:43" s="380" customFormat="1">
      <c r="A51" s="52" t="s">
        <v>690</v>
      </c>
      <c r="B51" s="601" t="s">
        <v>691</v>
      </c>
      <c r="C51" s="5117">
        <f>SUM(C52:C58)</f>
        <v>29592</v>
      </c>
      <c r="D51" s="5117">
        <f t="shared" ref="D51:AM51" si="18">SUM(D52:D58)</f>
        <v>0</v>
      </c>
      <c r="E51" s="5117">
        <f t="shared" si="18"/>
        <v>0</v>
      </c>
      <c r="F51" s="5117">
        <f t="shared" si="18"/>
        <v>0</v>
      </c>
      <c r="G51" s="5116"/>
      <c r="H51" s="5117">
        <f t="shared" si="18"/>
        <v>0</v>
      </c>
      <c r="I51" s="5116"/>
      <c r="J51" s="5117">
        <f t="shared" si="18"/>
        <v>0</v>
      </c>
      <c r="K51" s="5117"/>
      <c r="L51" s="5117"/>
      <c r="M51" s="5117"/>
      <c r="N51" s="5117"/>
      <c r="O51" s="5117"/>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20">
        <f t="shared" si="15"/>
        <v>5327</v>
      </c>
      <c r="D52" s="5120">
        <f>SUM(E52:K52)</f>
        <v>0</v>
      </c>
      <c r="E52" s="297"/>
      <c r="F52" s="297"/>
      <c r="G52" s="2625"/>
      <c r="H52" s="297"/>
      <c r="I52" s="2625"/>
      <c r="J52" s="297"/>
      <c r="K52" s="297"/>
      <c r="L52" s="297"/>
      <c r="M52" s="297"/>
      <c r="N52" s="297"/>
      <c r="O52" s="297"/>
      <c r="P52" s="4775">
        <f t="shared" si="16"/>
        <v>5327</v>
      </c>
      <c r="Q52" s="5996">
        <v>1382</v>
      </c>
      <c r="R52" s="6000"/>
      <c r="S52" s="6000"/>
      <c r="T52" s="6000"/>
      <c r="U52" s="6000"/>
      <c r="V52" s="6001"/>
      <c r="W52" s="6000">
        <v>48</v>
      </c>
      <c r="X52" s="6000"/>
      <c r="Y52" s="6000"/>
      <c r="Z52" s="6000">
        <v>378</v>
      </c>
      <c r="AA52" s="6000">
        <v>3519</v>
      </c>
      <c r="AB52" s="6000"/>
      <c r="AC52" s="6000"/>
      <c r="AD52" s="297"/>
      <c r="AE52" s="297"/>
      <c r="AF52" s="297"/>
      <c r="AG52" s="297"/>
      <c r="AH52" s="5996">
        <f t="shared" ref="AH52:AH54" si="19">SUM(AI52:AJ52)</f>
        <v>0</v>
      </c>
      <c r="AI52" s="297"/>
      <c r="AJ52" s="297"/>
      <c r="AK52" s="297"/>
      <c r="AL52" s="297"/>
      <c r="AM52" s="297"/>
      <c r="AN52" s="5997"/>
      <c r="AQ52" s="602">
        <f>+AQ51-AQ50</f>
        <v>500</v>
      </c>
    </row>
    <row r="53" spans="1:43" s="596" customFormat="1">
      <c r="A53" s="603">
        <v>36</v>
      </c>
      <c r="B53" s="604" t="s">
        <v>693</v>
      </c>
      <c r="C53" s="5120">
        <f t="shared" si="15"/>
        <v>4627</v>
      </c>
      <c r="D53" s="5120">
        <f>SUM(E53:K53)</f>
        <v>0</v>
      </c>
      <c r="E53" s="297"/>
      <c r="F53" s="297"/>
      <c r="G53" s="2625"/>
      <c r="H53" s="297"/>
      <c r="I53" s="2625"/>
      <c r="J53" s="297"/>
      <c r="K53" s="297"/>
      <c r="L53" s="297"/>
      <c r="M53" s="297"/>
      <c r="N53" s="297"/>
      <c r="O53" s="297"/>
      <c r="P53" s="4775">
        <f t="shared" si="16"/>
        <v>4627</v>
      </c>
      <c r="Q53" s="5996">
        <v>14</v>
      </c>
      <c r="R53" s="6000">
        <v>1608</v>
      </c>
      <c r="S53" s="6000"/>
      <c r="T53" s="6000"/>
      <c r="U53" s="6000"/>
      <c r="V53" s="6001"/>
      <c r="W53" s="6000">
        <v>149</v>
      </c>
      <c r="X53" s="6000"/>
      <c r="Y53" s="6000"/>
      <c r="Z53" s="6000"/>
      <c r="AA53" s="6000">
        <v>2856</v>
      </c>
      <c r="AB53" s="6000"/>
      <c r="AC53" s="6000"/>
      <c r="AD53" s="297"/>
      <c r="AE53" s="297"/>
      <c r="AF53" s="297"/>
      <c r="AG53" s="297"/>
      <c r="AH53" s="5996">
        <f t="shared" si="19"/>
        <v>0</v>
      </c>
      <c r="AI53" s="297"/>
      <c r="AJ53" s="297"/>
      <c r="AK53" s="297"/>
      <c r="AL53" s="297"/>
      <c r="AM53" s="297"/>
      <c r="AN53" s="5997"/>
    </row>
    <row r="54" spans="1:43" s="596" customFormat="1">
      <c r="A54" s="603">
        <v>37</v>
      </c>
      <c r="B54" s="604" t="s">
        <v>694</v>
      </c>
      <c r="C54" s="5120">
        <f t="shared" si="15"/>
        <v>3820</v>
      </c>
      <c r="D54" s="5120">
        <f>SUM(E54:K54)</f>
        <v>0</v>
      </c>
      <c r="E54" s="297"/>
      <c r="F54" s="297"/>
      <c r="G54" s="2625"/>
      <c r="H54" s="297"/>
      <c r="I54" s="2625"/>
      <c r="J54" s="297"/>
      <c r="K54" s="297"/>
      <c r="L54" s="297"/>
      <c r="M54" s="297"/>
      <c r="N54" s="297"/>
      <c r="O54" s="297"/>
      <c r="P54" s="4775">
        <f t="shared" si="16"/>
        <v>3820</v>
      </c>
      <c r="Q54" s="5996">
        <v>0</v>
      </c>
      <c r="R54" s="6000"/>
      <c r="S54" s="6000"/>
      <c r="T54" s="6000"/>
      <c r="U54" s="6000"/>
      <c r="V54" s="6001"/>
      <c r="W54" s="6000">
        <v>0</v>
      </c>
      <c r="X54" s="6000"/>
      <c r="Y54" s="6000"/>
      <c r="Z54" s="6000"/>
      <c r="AA54" s="6000">
        <v>3820</v>
      </c>
      <c r="AB54" s="6000"/>
      <c r="AC54" s="6000"/>
      <c r="AD54" s="297"/>
      <c r="AE54" s="297"/>
      <c r="AF54" s="297"/>
      <c r="AG54" s="297"/>
      <c r="AH54" s="5996">
        <f t="shared" si="19"/>
        <v>0</v>
      </c>
      <c r="AI54" s="297"/>
      <c r="AJ54" s="297"/>
      <c r="AK54" s="297"/>
      <c r="AL54" s="297"/>
      <c r="AM54" s="297"/>
      <c r="AN54" s="5997"/>
    </row>
    <row r="55" spans="1:43" s="596" customFormat="1">
      <c r="A55" s="603">
        <v>38</v>
      </c>
      <c r="B55" s="604" t="s">
        <v>695</v>
      </c>
      <c r="C55" s="5120">
        <f t="shared" si="15"/>
        <v>8003</v>
      </c>
      <c r="D55" s="5120">
        <f>SUM(E55:K55)</f>
        <v>0</v>
      </c>
      <c r="E55" s="297"/>
      <c r="F55" s="297"/>
      <c r="G55" s="2625"/>
      <c r="H55" s="297"/>
      <c r="I55" s="2625"/>
      <c r="J55" s="297"/>
      <c r="K55" s="297"/>
      <c r="L55" s="297"/>
      <c r="M55" s="297"/>
      <c r="N55" s="297"/>
      <c r="O55" s="297"/>
      <c r="P55" s="4775">
        <f>SUM(Q55:AC55)</f>
        <v>7503</v>
      </c>
      <c r="Q55" s="5996">
        <v>25</v>
      </c>
      <c r="R55" s="6000"/>
      <c r="S55" s="6000"/>
      <c r="T55" s="6000"/>
      <c r="U55" s="6000"/>
      <c r="V55" s="6001"/>
      <c r="W55" s="6000">
        <v>403</v>
      </c>
      <c r="X55" s="6000"/>
      <c r="Y55" s="6000"/>
      <c r="Z55" s="6000"/>
      <c r="AA55" s="6000">
        <v>7075</v>
      </c>
      <c r="AB55" s="6000"/>
      <c r="AC55" s="297"/>
      <c r="AD55" s="297"/>
      <c r="AE55" s="297"/>
      <c r="AF55" s="297"/>
      <c r="AG55" s="297"/>
      <c r="AH55" s="5996">
        <f>SUM(AI55:AJ55)</f>
        <v>500</v>
      </c>
      <c r="AI55" s="297"/>
      <c r="AJ55" s="297">
        <f>'Phụ lục số 6'!E29</f>
        <v>500</v>
      </c>
      <c r="AK55" s="297"/>
      <c r="AL55" s="297"/>
      <c r="AM55" s="297"/>
      <c r="AN55" s="5997"/>
    </row>
    <row r="56" spans="1:43" s="596" customFormat="1">
      <c r="A56" s="603">
        <v>39</v>
      </c>
      <c r="B56" s="604" t="s">
        <v>696</v>
      </c>
      <c r="C56" s="5120">
        <f t="shared" si="15"/>
        <v>7815</v>
      </c>
      <c r="D56" s="5120">
        <f>SUM(E56:K56)</f>
        <v>0</v>
      </c>
      <c r="E56" s="297"/>
      <c r="F56" s="297"/>
      <c r="G56" s="2625"/>
      <c r="H56" s="297"/>
      <c r="I56" s="2625"/>
      <c r="J56" s="297"/>
      <c r="K56" s="297"/>
      <c r="L56" s="297"/>
      <c r="M56" s="297"/>
      <c r="N56" s="297"/>
      <c r="O56" s="297"/>
      <c r="P56" s="4775">
        <f t="shared" si="16"/>
        <v>7815</v>
      </c>
      <c r="Q56" s="5996">
        <v>420</v>
      </c>
      <c r="R56" s="6000"/>
      <c r="S56" s="6000"/>
      <c r="T56" s="6000"/>
      <c r="U56" s="6001">
        <v>100</v>
      </c>
      <c r="V56" s="6001"/>
      <c r="W56" s="6000"/>
      <c r="X56" s="6000"/>
      <c r="Y56" s="6000"/>
      <c r="Z56" s="6000"/>
      <c r="AA56" s="6000">
        <v>7295</v>
      </c>
      <c r="AB56" s="6000"/>
      <c r="AC56" s="297"/>
      <c r="AD56" s="297"/>
      <c r="AE56" s="297"/>
      <c r="AF56" s="297"/>
      <c r="AG56" s="297"/>
      <c r="AH56" s="5996">
        <f t="shared" ref="AH56:AH58" si="20">SUM(AI56:AJ56)</f>
        <v>0</v>
      </c>
      <c r="AI56" s="297"/>
      <c r="AJ56" s="297"/>
      <c r="AK56" s="297"/>
      <c r="AL56" s="297"/>
      <c r="AM56" s="297"/>
      <c r="AN56" s="5997"/>
    </row>
    <row r="57" spans="1:43" s="596" customFormat="1" hidden="1">
      <c r="A57" s="603">
        <v>40</v>
      </c>
      <c r="B57" s="604" t="s">
        <v>697</v>
      </c>
      <c r="C57" s="6002">
        <f>D57+P57+AD57+AE57+AH57+AL57</f>
        <v>0</v>
      </c>
      <c r="D57" s="297">
        <f t="shared" ref="D57:D111" si="21">SUM(E57:J57)</f>
        <v>0</v>
      </c>
      <c r="E57" s="297"/>
      <c r="F57" s="297"/>
      <c r="G57" s="2625"/>
      <c r="H57" s="297"/>
      <c r="I57" s="2625"/>
      <c r="J57" s="297"/>
      <c r="K57" s="297"/>
      <c r="L57" s="297"/>
      <c r="M57" s="297"/>
      <c r="N57" s="297"/>
      <c r="O57" s="297"/>
      <c r="P57" s="5996">
        <f t="shared" ref="P57:P58" si="22">SUM(R57:AC57)</f>
        <v>0</v>
      </c>
      <c r="Q57" s="5996"/>
      <c r="R57" s="297"/>
      <c r="S57" s="297"/>
      <c r="T57" s="297"/>
      <c r="U57" s="297"/>
      <c r="V57" s="5996"/>
      <c r="W57" s="297"/>
      <c r="X57" s="297"/>
      <c r="Y57" s="297"/>
      <c r="Z57" s="297"/>
      <c r="AA57" s="297"/>
      <c r="AB57" s="297"/>
      <c r="AC57" s="297"/>
      <c r="AD57" s="297"/>
      <c r="AE57" s="297"/>
      <c r="AF57" s="297"/>
      <c r="AG57" s="297"/>
      <c r="AH57" s="5996">
        <f t="shared" si="20"/>
        <v>0</v>
      </c>
      <c r="AI57" s="297"/>
      <c r="AJ57" s="297"/>
      <c r="AK57" s="297"/>
      <c r="AL57" s="297"/>
      <c r="AM57" s="297"/>
      <c r="AN57" s="5997"/>
    </row>
    <row r="58" spans="1:43" s="596" customFormat="1" hidden="1">
      <c r="A58" s="603">
        <v>41</v>
      </c>
      <c r="B58" s="604" t="s">
        <v>698</v>
      </c>
      <c r="C58" s="6002">
        <f>D58+P58+AD58+AE58+AH58+AL58</f>
        <v>0</v>
      </c>
      <c r="D58" s="297">
        <f t="shared" si="21"/>
        <v>0</v>
      </c>
      <c r="E58" s="297"/>
      <c r="F58" s="297"/>
      <c r="G58" s="2625"/>
      <c r="H58" s="297"/>
      <c r="I58" s="2625"/>
      <c r="J58" s="297"/>
      <c r="K58" s="297"/>
      <c r="L58" s="297"/>
      <c r="M58" s="297"/>
      <c r="N58" s="297"/>
      <c r="O58" s="297"/>
      <c r="P58" s="5996">
        <f t="shared" si="22"/>
        <v>0</v>
      </c>
      <c r="Q58" s="5996"/>
      <c r="R58" s="297"/>
      <c r="S58" s="297"/>
      <c r="T58" s="297"/>
      <c r="U58" s="297"/>
      <c r="V58" s="5996"/>
      <c r="W58" s="297"/>
      <c r="X58" s="297"/>
      <c r="Y58" s="297"/>
      <c r="Z58" s="297"/>
      <c r="AA58" s="297"/>
      <c r="AB58" s="297"/>
      <c r="AC58" s="297"/>
      <c r="AD58" s="297"/>
      <c r="AE58" s="297"/>
      <c r="AF58" s="297"/>
      <c r="AG58" s="297"/>
      <c r="AH58" s="5996">
        <f t="shared" si="20"/>
        <v>0</v>
      </c>
      <c r="AI58" s="297"/>
      <c r="AJ58" s="297"/>
      <c r="AK58" s="297"/>
      <c r="AL58" s="297"/>
      <c r="AM58" s="297"/>
      <c r="AN58" s="5997"/>
    </row>
    <row r="59" spans="1:43" s="380" customFormat="1">
      <c r="A59" s="606" t="s">
        <v>182</v>
      </c>
      <c r="B59" s="607" t="s">
        <v>699</v>
      </c>
      <c r="C59" s="5966">
        <f>SUM(C60:C62)</f>
        <v>160670</v>
      </c>
      <c r="D59" s="5966">
        <f t="shared" ref="D59:P59" si="23">SUM(D60:D62)</f>
        <v>0</v>
      </c>
      <c r="E59" s="5966">
        <f t="shared" si="23"/>
        <v>0</v>
      </c>
      <c r="F59" s="5966">
        <f t="shared" si="23"/>
        <v>0</v>
      </c>
      <c r="G59" s="5967"/>
      <c r="H59" s="5966">
        <f t="shared" si="23"/>
        <v>0</v>
      </c>
      <c r="I59" s="5967"/>
      <c r="J59" s="5966">
        <f t="shared" si="23"/>
        <v>0</v>
      </c>
      <c r="K59" s="5966"/>
      <c r="L59" s="5966"/>
      <c r="M59" s="5966"/>
      <c r="N59" s="5966"/>
      <c r="O59" s="5966"/>
      <c r="P59" s="5966">
        <f t="shared" si="23"/>
        <v>160670</v>
      </c>
      <c r="Q59" s="5966">
        <f>SUM(Q60:Q62)</f>
        <v>6070</v>
      </c>
      <c r="R59" s="5966">
        <f t="shared" ref="R59:AC59" si="24">SUM(R60:R62)</f>
        <v>0</v>
      </c>
      <c r="S59" s="5966">
        <f t="shared" si="24"/>
        <v>150000</v>
      </c>
      <c r="T59" s="5966">
        <f t="shared" si="24"/>
        <v>0</v>
      </c>
      <c r="U59" s="5966">
        <f t="shared" si="24"/>
        <v>4300</v>
      </c>
      <c r="V59" s="5966">
        <f t="shared" si="24"/>
        <v>0</v>
      </c>
      <c r="W59" s="5966">
        <f t="shared" si="24"/>
        <v>0</v>
      </c>
      <c r="X59" s="5966">
        <f t="shared" si="24"/>
        <v>0</v>
      </c>
      <c r="Y59" s="5966">
        <f>SUM(Y60:Y62)</f>
        <v>300</v>
      </c>
      <c r="Z59" s="5966">
        <f t="shared" si="24"/>
        <v>0</v>
      </c>
      <c r="AA59" s="5966">
        <f t="shared" si="24"/>
        <v>0</v>
      </c>
      <c r="AB59" s="5966">
        <f t="shared" si="24"/>
        <v>0</v>
      </c>
      <c r="AC59" s="5966">
        <f t="shared" si="24"/>
        <v>0</v>
      </c>
      <c r="AD59" s="5966">
        <f t="shared" ref="AD59" si="25">SUM(AD60:AD62)</f>
        <v>0</v>
      </c>
      <c r="AE59" s="5966">
        <f t="shared" ref="AE59" si="26">SUM(AE60:AE62)</f>
        <v>0</v>
      </c>
      <c r="AF59" s="5966">
        <f t="shared" ref="AF59" si="27">SUM(AF60:AF62)</f>
        <v>0</v>
      </c>
      <c r="AG59" s="5966">
        <f t="shared" ref="AG59" si="28">SUM(AG60:AG62)</f>
        <v>0</v>
      </c>
      <c r="AH59" s="5966">
        <f t="shared" ref="AH59" si="29">SUM(AH60:AH62)</f>
        <v>0</v>
      </c>
      <c r="AI59" s="5966">
        <f t="shared" ref="AI59" si="30">SUM(AI60:AI62)</f>
        <v>0</v>
      </c>
      <c r="AJ59" s="5966">
        <f t="shared" ref="AJ59" si="31">SUM(AJ60:AJ62)</f>
        <v>0</v>
      </c>
      <c r="AK59" s="5966"/>
      <c r="AL59" s="330"/>
      <c r="AM59" s="330"/>
      <c r="AN59" s="1659"/>
    </row>
    <row r="60" spans="1:43" s="596" customFormat="1">
      <c r="A60" s="603">
        <v>42</v>
      </c>
      <c r="B60" s="604" t="s">
        <v>700</v>
      </c>
      <c r="C60" s="5120">
        <f t="shared" ref="C60:C79" si="32">D60+P60+AD60+AE60+AH60+AL60+AF60+AG60+AK60+AM60</f>
        <v>51300</v>
      </c>
      <c r="D60" s="5120">
        <f>SUM(E60:K60)</f>
        <v>0</v>
      </c>
      <c r="E60" s="297"/>
      <c r="F60" s="297"/>
      <c r="G60" s="2625"/>
      <c r="H60" s="297"/>
      <c r="I60" s="2625"/>
      <c r="J60" s="297"/>
      <c r="K60" s="297"/>
      <c r="L60" s="297"/>
      <c r="M60" s="297"/>
      <c r="N60" s="297"/>
      <c r="O60" s="297"/>
      <c r="P60" s="4775">
        <f t="shared" ref="P60:P79" si="33">SUM(Q60:AC60)</f>
        <v>51300</v>
      </c>
      <c r="Q60" s="5996"/>
      <c r="R60" s="297"/>
      <c r="S60" s="6003">
        <f>51000</f>
        <v>51000</v>
      </c>
      <c r="T60" s="6004"/>
      <c r="U60" s="297"/>
      <c r="V60" s="5996"/>
      <c r="W60" s="297"/>
      <c r="X60" s="297"/>
      <c r="Y60" s="297">
        <v>300</v>
      </c>
      <c r="Z60" s="297"/>
      <c r="AA60" s="297"/>
      <c r="AB60" s="5996"/>
      <c r="AC60" s="297"/>
      <c r="AD60" s="297"/>
      <c r="AE60" s="297"/>
      <c r="AF60" s="297"/>
      <c r="AG60" s="297"/>
      <c r="AH60" s="5996"/>
      <c r="AI60" s="297"/>
      <c r="AJ60" s="297"/>
      <c r="AK60" s="297"/>
      <c r="AL60" s="297"/>
      <c r="AM60" s="297"/>
      <c r="AN60" s="5997"/>
      <c r="AQ60" s="608"/>
    </row>
    <row r="61" spans="1:43" s="596" customFormat="1">
      <c r="A61" s="603">
        <v>43</v>
      </c>
      <c r="B61" s="604" t="s">
        <v>701</v>
      </c>
      <c r="C61" s="5120">
        <f t="shared" si="32"/>
        <v>92870</v>
      </c>
      <c r="D61" s="5120">
        <f>SUM(E61:K61)</f>
        <v>0</v>
      </c>
      <c r="E61" s="297"/>
      <c r="F61" s="297"/>
      <c r="G61" s="2625"/>
      <c r="H61" s="297"/>
      <c r="I61" s="2625"/>
      <c r="J61" s="297"/>
      <c r="K61" s="297"/>
      <c r="L61" s="297"/>
      <c r="M61" s="297"/>
      <c r="N61" s="297"/>
      <c r="O61" s="297"/>
      <c r="P61" s="4775">
        <f t="shared" si="33"/>
        <v>92870</v>
      </c>
      <c r="Q61" s="5962">
        <v>6070</v>
      </c>
      <c r="R61" s="297"/>
      <c r="S61" s="4775">
        <f>41880+28120+(16800-U61)</f>
        <v>82500</v>
      </c>
      <c r="T61" s="297"/>
      <c r="U61" s="5996">
        <v>4300</v>
      </c>
      <c r="V61" s="5996"/>
      <c r="W61" s="297"/>
      <c r="X61" s="297"/>
      <c r="Y61" s="297"/>
      <c r="Z61" s="297"/>
      <c r="AA61" s="297"/>
      <c r="AB61" s="5996"/>
      <c r="AC61" s="297"/>
      <c r="AD61" s="297"/>
      <c r="AE61" s="297"/>
      <c r="AF61" s="297"/>
      <c r="AG61" s="297"/>
      <c r="AH61" s="5996"/>
      <c r="AI61" s="297"/>
      <c r="AJ61" s="297"/>
      <c r="AK61" s="297"/>
      <c r="AL61" s="297"/>
      <c r="AM61" s="297"/>
      <c r="AN61" s="5997"/>
      <c r="AQ61" s="608"/>
    </row>
    <row r="62" spans="1:43" s="596" customFormat="1">
      <c r="A62" s="603">
        <v>44</v>
      </c>
      <c r="B62" s="604" t="s">
        <v>702</v>
      </c>
      <c r="C62" s="5120">
        <f t="shared" si="32"/>
        <v>16500</v>
      </c>
      <c r="D62" s="5120">
        <f>SUM(E62:K62)</f>
        <v>0</v>
      </c>
      <c r="E62" s="297"/>
      <c r="F62" s="297"/>
      <c r="G62" s="2625"/>
      <c r="H62" s="297"/>
      <c r="I62" s="2625"/>
      <c r="J62" s="297"/>
      <c r="K62" s="297"/>
      <c r="L62" s="297"/>
      <c r="M62" s="297"/>
      <c r="N62" s="297"/>
      <c r="O62" s="297"/>
      <c r="P62" s="4775">
        <f t="shared" si="33"/>
        <v>16500</v>
      </c>
      <c r="Q62" s="5996"/>
      <c r="R62" s="297"/>
      <c r="S62" s="4775">
        <f>16500</f>
        <v>16500</v>
      </c>
      <c r="T62" s="297"/>
      <c r="U62" s="297"/>
      <c r="V62" s="5996"/>
      <c r="W62" s="297"/>
      <c r="X62" s="297"/>
      <c r="Y62" s="297"/>
      <c r="Z62" s="297"/>
      <c r="AA62" s="297"/>
      <c r="AB62" s="5996"/>
      <c r="AC62" s="297"/>
      <c r="AD62" s="297"/>
      <c r="AE62" s="297"/>
      <c r="AF62" s="297"/>
      <c r="AG62" s="297"/>
      <c r="AH62" s="5996"/>
      <c r="AI62" s="297"/>
      <c r="AJ62" s="297"/>
      <c r="AK62" s="297"/>
      <c r="AL62" s="297"/>
      <c r="AM62" s="297"/>
      <c r="AN62" s="6005"/>
    </row>
    <row r="63" spans="1:43" s="380" customFormat="1">
      <c r="A63" s="606" t="s">
        <v>215</v>
      </c>
      <c r="B63" s="607" t="s">
        <v>703</v>
      </c>
      <c r="C63" s="5966">
        <f>SUM(C64:C79)</f>
        <v>498071.2</v>
      </c>
      <c r="D63" s="5966">
        <f t="shared" ref="D63:AM63" si="34">SUM(D64:D79)</f>
        <v>0</v>
      </c>
      <c r="E63" s="5966">
        <f t="shared" si="34"/>
        <v>0</v>
      </c>
      <c r="F63" s="5966">
        <f t="shared" si="34"/>
        <v>0</v>
      </c>
      <c r="G63" s="5967">
        <f t="shared" si="34"/>
        <v>0</v>
      </c>
      <c r="H63" s="5966">
        <f t="shared" si="34"/>
        <v>0</v>
      </c>
      <c r="I63" s="5967">
        <f t="shared" si="34"/>
        <v>0</v>
      </c>
      <c r="J63" s="5966">
        <f t="shared" si="34"/>
        <v>0</v>
      </c>
      <c r="K63" s="5966">
        <f t="shared" si="34"/>
        <v>0</v>
      </c>
      <c r="L63" s="5966">
        <f t="shared" si="34"/>
        <v>0</v>
      </c>
      <c r="M63" s="5966">
        <f t="shared" si="34"/>
        <v>0</v>
      </c>
      <c r="N63" s="5966">
        <f t="shared" si="34"/>
        <v>0</v>
      </c>
      <c r="O63" s="5966">
        <f t="shared" si="34"/>
        <v>0</v>
      </c>
      <c r="P63" s="5966">
        <f>SUM(P64:P79)</f>
        <v>383595.2</v>
      </c>
      <c r="Q63" s="5966">
        <f t="shared" si="34"/>
        <v>0</v>
      </c>
      <c r="R63" s="5966">
        <f t="shared" si="34"/>
        <v>0</v>
      </c>
      <c r="S63" s="5966">
        <f t="shared" si="34"/>
        <v>0</v>
      </c>
      <c r="T63" s="5966">
        <f t="shared" si="34"/>
        <v>0</v>
      </c>
      <c r="U63" s="5966">
        <f>SUM(U64:U79)</f>
        <v>367885</v>
      </c>
      <c r="V63" s="5966">
        <f t="shared" si="34"/>
        <v>0</v>
      </c>
      <c r="W63" s="5966">
        <f t="shared" si="34"/>
        <v>9765</v>
      </c>
      <c r="X63" s="5966">
        <f t="shared" si="34"/>
        <v>0</v>
      </c>
      <c r="Y63" s="5966">
        <f t="shared" si="34"/>
        <v>0</v>
      </c>
      <c r="Z63" s="5966">
        <f t="shared" si="34"/>
        <v>0</v>
      </c>
      <c r="AA63" s="5966">
        <f t="shared" si="34"/>
        <v>0</v>
      </c>
      <c r="AB63" s="5966">
        <f t="shared" si="34"/>
        <v>0</v>
      </c>
      <c r="AC63" s="5966">
        <f t="shared" si="34"/>
        <v>5945.2</v>
      </c>
      <c r="AD63" s="5966">
        <f t="shared" si="34"/>
        <v>0</v>
      </c>
      <c r="AE63" s="5966">
        <f t="shared" si="34"/>
        <v>0</v>
      </c>
      <c r="AF63" s="5966">
        <f t="shared" si="34"/>
        <v>0</v>
      </c>
      <c r="AG63" s="5966">
        <f t="shared" si="34"/>
        <v>0</v>
      </c>
      <c r="AH63" s="5966">
        <f t="shared" si="34"/>
        <v>114476</v>
      </c>
      <c r="AI63" s="5966">
        <f t="shared" si="34"/>
        <v>0</v>
      </c>
      <c r="AJ63" s="5966">
        <f t="shared" si="34"/>
        <v>114476</v>
      </c>
      <c r="AK63" s="5966">
        <f t="shared" si="34"/>
        <v>0</v>
      </c>
      <c r="AL63" s="5966">
        <f t="shared" si="34"/>
        <v>0</v>
      </c>
      <c r="AM63" s="5966">
        <f t="shared" si="34"/>
        <v>0</v>
      </c>
      <c r="AN63" s="1659"/>
    </row>
    <row r="64" spans="1:43" s="596" customFormat="1">
      <c r="A64" s="603">
        <v>45</v>
      </c>
      <c r="B64" s="604" t="s">
        <v>704</v>
      </c>
      <c r="C64" s="5128">
        <f>D64+P64+AD64+AE64+AH64+AL64+AF64+AG64+AK64+AM64</f>
        <v>482201</v>
      </c>
      <c r="D64" s="5120">
        <f t="shared" ref="D64:D77" si="35">SUM(E64:K64)</f>
        <v>0</v>
      </c>
      <c r="E64" s="297"/>
      <c r="F64" s="297"/>
      <c r="G64" s="2625"/>
      <c r="H64" s="297"/>
      <c r="I64" s="2625"/>
      <c r="J64" s="297"/>
      <c r="K64" s="297"/>
      <c r="L64" s="297"/>
      <c r="M64" s="297"/>
      <c r="N64" s="297"/>
      <c r="O64" s="297"/>
      <c r="P64" s="4775">
        <f t="shared" si="33"/>
        <v>367885</v>
      </c>
      <c r="Q64" s="5996"/>
      <c r="R64" s="297"/>
      <c r="S64" s="297"/>
      <c r="T64" s="297"/>
      <c r="U64" s="6006">
        <f>(328342+4378)+(39543-4378)</f>
        <v>367885</v>
      </c>
      <c r="V64" s="5996"/>
      <c r="W64" s="297"/>
      <c r="X64" s="297"/>
      <c r="Y64" s="297"/>
      <c r="Z64" s="297"/>
      <c r="AA64" s="297"/>
      <c r="AB64" s="297"/>
      <c r="AC64" s="328"/>
      <c r="AD64" s="297"/>
      <c r="AE64" s="297"/>
      <c r="AF64" s="297"/>
      <c r="AG64" s="297"/>
      <c r="AH64" s="5996">
        <f>SUM(AI64:AJ64)</f>
        <v>114316</v>
      </c>
      <c r="AI64" s="297"/>
      <c r="AJ64" s="6007">
        <v>114316</v>
      </c>
      <c r="AK64" s="297"/>
      <c r="AL64" s="297"/>
      <c r="AM64" s="297"/>
      <c r="AN64" s="5997"/>
    </row>
    <row r="65" spans="1:40" s="596" customFormat="1">
      <c r="A65" s="603">
        <v>46</v>
      </c>
      <c r="B65" s="604" t="s">
        <v>705</v>
      </c>
      <c r="C65" s="5128">
        <f t="shared" si="32"/>
        <v>0</v>
      </c>
      <c r="D65" s="5120">
        <f t="shared" si="35"/>
        <v>0</v>
      </c>
      <c r="E65" s="297"/>
      <c r="F65" s="297"/>
      <c r="G65" s="2625"/>
      <c r="H65" s="297"/>
      <c r="I65" s="2625"/>
      <c r="J65" s="297"/>
      <c r="K65" s="297"/>
      <c r="L65" s="297"/>
      <c r="M65" s="297"/>
      <c r="N65" s="297"/>
      <c r="O65" s="297"/>
      <c r="P65" s="4775">
        <f t="shared" si="33"/>
        <v>0</v>
      </c>
      <c r="Q65" s="5996"/>
      <c r="R65" s="297"/>
      <c r="S65" s="297"/>
      <c r="T65" s="297"/>
      <c r="U65" s="5996"/>
      <c r="V65" s="5996"/>
      <c r="W65" s="297"/>
      <c r="X65" s="297"/>
      <c r="Y65" s="297"/>
      <c r="Z65" s="5996"/>
      <c r="AA65" s="297"/>
      <c r="AB65" s="297"/>
      <c r="AC65" s="328"/>
      <c r="AD65" s="297"/>
      <c r="AE65" s="297"/>
      <c r="AF65" s="297"/>
      <c r="AG65" s="297"/>
      <c r="AH65" s="5996">
        <f t="shared" ref="AH65:AH77" si="36">SUM(AI65:AJ65)</f>
        <v>0</v>
      </c>
      <c r="AI65" s="297"/>
      <c r="AJ65" s="297"/>
      <c r="AK65" s="297"/>
      <c r="AL65" s="297"/>
      <c r="AM65" s="297"/>
      <c r="AN65" s="5997"/>
    </row>
    <row r="66" spans="1:40" s="596" customFormat="1">
      <c r="A66" s="603">
        <v>47</v>
      </c>
      <c r="B66" s="604" t="s">
        <v>706</v>
      </c>
      <c r="C66" s="5128">
        <f t="shared" si="32"/>
        <v>1625</v>
      </c>
      <c r="D66" s="5120">
        <f t="shared" si="35"/>
        <v>0</v>
      </c>
      <c r="E66" s="297"/>
      <c r="F66" s="297"/>
      <c r="G66" s="2625"/>
      <c r="H66" s="297"/>
      <c r="I66" s="2625"/>
      <c r="J66" s="297"/>
      <c r="K66" s="297"/>
      <c r="L66" s="297"/>
      <c r="M66" s="297"/>
      <c r="N66" s="297"/>
      <c r="O66" s="297"/>
      <c r="P66" s="4775">
        <f t="shared" si="33"/>
        <v>1465</v>
      </c>
      <c r="Q66" s="5996"/>
      <c r="R66" s="297"/>
      <c r="S66" s="297"/>
      <c r="T66" s="297"/>
      <c r="U66" s="297"/>
      <c r="V66" s="5996"/>
      <c r="W66" s="297"/>
      <c r="X66" s="297"/>
      <c r="Y66" s="297"/>
      <c r="Z66" s="297"/>
      <c r="AA66" s="297"/>
      <c r="AB66" s="297"/>
      <c r="AC66" s="5962">
        <f>400+1065</f>
        <v>1465</v>
      </c>
      <c r="AD66" s="297"/>
      <c r="AE66" s="297"/>
      <c r="AF66" s="297"/>
      <c r="AG66" s="297"/>
      <c r="AH66" s="5996">
        <f t="shared" si="36"/>
        <v>160</v>
      </c>
      <c r="AI66" s="297"/>
      <c r="AJ66" s="297">
        <f>'Phụ lục số 6'!E30</f>
        <v>160</v>
      </c>
      <c r="AK66" s="297"/>
      <c r="AL66" s="297"/>
      <c r="AM66" s="297"/>
      <c r="AN66" s="5997"/>
    </row>
    <row r="67" spans="1:40" s="596" customFormat="1">
      <c r="A67" s="603">
        <v>48</v>
      </c>
      <c r="B67" s="610" t="s">
        <v>707</v>
      </c>
      <c r="C67" s="5128">
        <f t="shared" si="32"/>
        <v>610</v>
      </c>
      <c r="D67" s="5120">
        <f t="shared" si="35"/>
        <v>0</v>
      </c>
      <c r="E67" s="297"/>
      <c r="F67" s="297"/>
      <c r="G67" s="2625"/>
      <c r="H67" s="297"/>
      <c r="I67" s="2625"/>
      <c r="J67" s="297"/>
      <c r="K67" s="297"/>
      <c r="L67" s="297"/>
      <c r="M67" s="297"/>
      <c r="N67" s="297"/>
      <c r="O67" s="297"/>
      <c r="P67" s="4775">
        <f t="shared" si="33"/>
        <v>610</v>
      </c>
      <c r="Q67" s="5996"/>
      <c r="R67" s="297"/>
      <c r="S67" s="297"/>
      <c r="T67" s="297"/>
      <c r="U67" s="297"/>
      <c r="V67" s="5996"/>
      <c r="W67" s="297"/>
      <c r="X67" s="297"/>
      <c r="Y67" s="297"/>
      <c r="Z67" s="297"/>
      <c r="AA67" s="297"/>
      <c r="AB67" s="297"/>
      <c r="AC67" s="6035">
        <f>400+222-12</f>
        <v>610</v>
      </c>
      <c r="AD67" s="297"/>
      <c r="AE67" s="297"/>
      <c r="AF67" s="297"/>
      <c r="AG67" s="297"/>
      <c r="AH67" s="5996">
        <f t="shared" si="36"/>
        <v>0</v>
      </c>
      <c r="AI67" s="297"/>
      <c r="AJ67" s="297"/>
      <c r="AK67" s="297"/>
      <c r="AL67" s="297"/>
      <c r="AM67" s="297"/>
      <c r="AN67" s="5997"/>
    </row>
    <row r="68" spans="1:40" s="596" customFormat="1" ht="36">
      <c r="A68" s="603">
        <v>49</v>
      </c>
      <c r="B68" s="610" t="s">
        <v>708</v>
      </c>
      <c r="C68" s="5128">
        <f t="shared" si="32"/>
        <v>530</v>
      </c>
      <c r="D68" s="5120">
        <f t="shared" si="35"/>
        <v>0</v>
      </c>
      <c r="E68" s="297"/>
      <c r="F68" s="297"/>
      <c r="G68" s="2625"/>
      <c r="H68" s="297"/>
      <c r="I68" s="2625"/>
      <c r="J68" s="297"/>
      <c r="K68" s="297"/>
      <c r="L68" s="297"/>
      <c r="M68" s="297"/>
      <c r="N68" s="297"/>
      <c r="O68" s="297"/>
      <c r="P68" s="4775">
        <f t="shared" si="33"/>
        <v>530</v>
      </c>
      <c r="Q68" s="5996"/>
      <c r="R68" s="297"/>
      <c r="S68" s="297"/>
      <c r="T68" s="297"/>
      <c r="U68" s="297"/>
      <c r="V68" s="5996"/>
      <c r="W68" s="297"/>
      <c r="X68" s="297"/>
      <c r="Y68" s="297"/>
      <c r="Z68" s="297"/>
      <c r="AA68" s="297"/>
      <c r="AB68" s="297"/>
      <c r="AC68" s="328">
        <f>500+30</f>
        <v>530</v>
      </c>
      <c r="AD68" s="297"/>
      <c r="AE68" s="297"/>
      <c r="AF68" s="297"/>
      <c r="AG68" s="297"/>
      <c r="AH68" s="5996">
        <f t="shared" si="36"/>
        <v>0</v>
      </c>
      <c r="AI68" s="297"/>
      <c r="AJ68" s="297"/>
      <c r="AK68" s="297"/>
      <c r="AL68" s="297"/>
      <c r="AM68" s="297"/>
      <c r="AN68" s="5997"/>
    </row>
    <row r="69" spans="1:40" s="596" customFormat="1">
      <c r="A69" s="603">
        <v>50</v>
      </c>
      <c r="B69" s="610" t="s">
        <v>709</v>
      </c>
      <c r="C69" s="5128">
        <f t="shared" si="32"/>
        <v>550</v>
      </c>
      <c r="D69" s="5120">
        <f t="shared" si="35"/>
        <v>0</v>
      </c>
      <c r="E69" s="297"/>
      <c r="F69" s="297"/>
      <c r="G69" s="2625"/>
      <c r="H69" s="297"/>
      <c r="I69" s="2625"/>
      <c r="J69" s="297"/>
      <c r="K69" s="297"/>
      <c r="L69" s="297"/>
      <c r="M69" s="297"/>
      <c r="N69" s="297"/>
      <c r="O69" s="297"/>
      <c r="P69" s="4775">
        <f t="shared" si="33"/>
        <v>550</v>
      </c>
      <c r="Q69" s="5996"/>
      <c r="R69" s="297"/>
      <c r="S69" s="297"/>
      <c r="T69" s="297"/>
      <c r="U69" s="297"/>
      <c r="V69" s="5996"/>
      <c r="W69" s="297"/>
      <c r="X69" s="297"/>
      <c r="Y69" s="297"/>
      <c r="Z69" s="297"/>
      <c r="AA69" s="297"/>
      <c r="AB69" s="297"/>
      <c r="AC69" s="328">
        <f>400+150</f>
        <v>550</v>
      </c>
      <c r="AD69" s="297"/>
      <c r="AE69" s="297"/>
      <c r="AF69" s="297"/>
      <c r="AG69" s="297"/>
      <c r="AH69" s="5996">
        <f t="shared" si="36"/>
        <v>0</v>
      </c>
      <c r="AI69" s="297"/>
      <c r="AJ69" s="297"/>
      <c r="AK69" s="297"/>
      <c r="AL69" s="297"/>
      <c r="AM69" s="297"/>
      <c r="AN69" s="5997"/>
    </row>
    <row r="70" spans="1:40" s="596" customFormat="1">
      <c r="A70" s="603">
        <v>51</v>
      </c>
      <c r="B70" s="610" t="s">
        <v>710</v>
      </c>
      <c r="C70" s="5128">
        <f t="shared" si="32"/>
        <v>435</v>
      </c>
      <c r="D70" s="5120">
        <f t="shared" si="35"/>
        <v>0</v>
      </c>
      <c r="E70" s="297"/>
      <c r="F70" s="297"/>
      <c r="G70" s="2625"/>
      <c r="H70" s="297"/>
      <c r="I70" s="2625"/>
      <c r="J70" s="297"/>
      <c r="K70" s="297"/>
      <c r="L70" s="297"/>
      <c r="M70" s="297"/>
      <c r="N70" s="297"/>
      <c r="O70" s="297"/>
      <c r="P70" s="4775">
        <f t="shared" si="33"/>
        <v>435</v>
      </c>
      <c r="Q70" s="5996"/>
      <c r="R70" s="297"/>
      <c r="S70" s="297"/>
      <c r="T70" s="297"/>
      <c r="U70" s="297"/>
      <c r="V70" s="5996"/>
      <c r="W70" s="297"/>
      <c r="X70" s="297"/>
      <c r="Y70" s="297"/>
      <c r="Z70" s="297"/>
      <c r="AA70" s="297"/>
      <c r="AB70" s="297"/>
      <c r="AC70" s="328">
        <f>400+35</f>
        <v>435</v>
      </c>
      <c r="AD70" s="297"/>
      <c r="AE70" s="297"/>
      <c r="AF70" s="297"/>
      <c r="AG70" s="297"/>
      <c r="AH70" s="5996">
        <f t="shared" si="36"/>
        <v>0</v>
      </c>
      <c r="AI70" s="297"/>
      <c r="AJ70" s="297"/>
      <c r="AK70" s="297"/>
      <c r="AL70" s="297"/>
      <c r="AM70" s="297"/>
      <c r="AN70" s="5997"/>
    </row>
    <row r="71" spans="1:40" s="596" customFormat="1">
      <c r="A71" s="603">
        <v>52</v>
      </c>
      <c r="B71" s="610" t="s">
        <v>711</v>
      </c>
      <c r="C71" s="5128">
        <f t="shared" si="32"/>
        <v>676</v>
      </c>
      <c r="D71" s="5120">
        <f t="shared" si="35"/>
        <v>0</v>
      </c>
      <c r="E71" s="297"/>
      <c r="F71" s="297"/>
      <c r="G71" s="2625"/>
      <c r="H71" s="297"/>
      <c r="I71" s="2625"/>
      <c r="J71" s="297"/>
      <c r="K71" s="297"/>
      <c r="L71" s="297"/>
      <c r="M71" s="297"/>
      <c r="N71" s="297"/>
      <c r="O71" s="297"/>
      <c r="P71" s="4775">
        <f t="shared" si="33"/>
        <v>676</v>
      </c>
      <c r="Q71" s="5996"/>
      <c r="R71" s="297"/>
      <c r="S71" s="297"/>
      <c r="T71" s="297"/>
      <c r="U71" s="297"/>
      <c r="V71" s="5996"/>
      <c r="W71" s="297"/>
      <c r="X71" s="297"/>
      <c r="Y71" s="297"/>
      <c r="Z71" s="297"/>
      <c r="AA71" s="297"/>
      <c r="AB71" s="297"/>
      <c r="AC71" s="6035">
        <f>400+233+43</f>
        <v>676</v>
      </c>
      <c r="AD71" s="297"/>
      <c r="AE71" s="297"/>
      <c r="AF71" s="297"/>
      <c r="AG71" s="297"/>
      <c r="AH71" s="5996">
        <f t="shared" si="36"/>
        <v>0</v>
      </c>
      <c r="AI71" s="297"/>
      <c r="AJ71" s="297"/>
      <c r="AK71" s="297"/>
      <c r="AL71" s="297"/>
      <c r="AM71" s="297"/>
      <c r="AN71" s="5997"/>
    </row>
    <row r="72" spans="1:40" s="596" customFormat="1">
      <c r="A72" s="603">
        <v>53</v>
      </c>
      <c r="B72" s="610" t="s">
        <v>712</v>
      </c>
      <c r="C72" s="5128">
        <f t="shared" si="32"/>
        <v>729.2</v>
      </c>
      <c r="D72" s="5120">
        <f t="shared" si="35"/>
        <v>0</v>
      </c>
      <c r="E72" s="297"/>
      <c r="F72" s="297"/>
      <c r="G72" s="2625"/>
      <c r="H72" s="297"/>
      <c r="I72" s="2625"/>
      <c r="J72" s="297"/>
      <c r="K72" s="297"/>
      <c r="L72" s="297"/>
      <c r="M72" s="297"/>
      <c r="N72" s="297"/>
      <c r="O72" s="297"/>
      <c r="P72" s="4775">
        <f t="shared" si="33"/>
        <v>729.2</v>
      </c>
      <c r="Q72" s="5996"/>
      <c r="R72" s="297"/>
      <c r="S72" s="297"/>
      <c r="T72" s="297"/>
      <c r="U72" s="297"/>
      <c r="V72" s="5996"/>
      <c r="W72" s="297"/>
      <c r="X72" s="297"/>
      <c r="Y72" s="297"/>
      <c r="Z72" s="297"/>
      <c r="AA72" s="297"/>
      <c r="AB72" s="297"/>
      <c r="AC72" s="328">
        <f>400+(378-48.8)</f>
        <v>729.2</v>
      </c>
      <c r="AD72" s="297"/>
      <c r="AE72" s="297"/>
      <c r="AF72" s="297"/>
      <c r="AG72" s="297"/>
      <c r="AH72" s="5996">
        <f t="shared" si="36"/>
        <v>0</v>
      </c>
      <c r="AI72" s="297"/>
      <c r="AJ72" s="297"/>
      <c r="AK72" s="297"/>
      <c r="AL72" s="297"/>
      <c r="AM72" s="297"/>
      <c r="AN72" s="5997"/>
    </row>
    <row r="73" spans="1:40" s="596" customFormat="1">
      <c r="A73" s="603">
        <v>54</v>
      </c>
      <c r="B73" s="610" t="s">
        <v>713</v>
      </c>
      <c r="C73" s="5128">
        <f t="shared" si="32"/>
        <v>150</v>
      </c>
      <c r="D73" s="5120">
        <f t="shared" si="35"/>
        <v>0</v>
      </c>
      <c r="E73" s="297"/>
      <c r="F73" s="297"/>
      <c r="G73" s="2625"/>
      <c r="H73" s="297"/>
      <c r="I73" s="2625"/>
      <c r="J73" s="297"/>
      <c r="K73" s="297"/>
      <c r="L73" s="297"/>
      <c r="M73" s="297"/>
      <c r="N73" s="297"/>
      <c r="O73" s="297"/>
      <c r="P73" s="4775">
        <f t="shared" si="33"/>
        <v>150</v>
      </c>
      <c r="Q73" s="5996"/>
      <c r="R73" s="297"/>
      <c r="S73" s="297"/>
      <c r="T73" s="297"/>
      <c r="U73" s="297"/>
      <c r="V73" s="5996"/>
      <c r="W73" s="297"/>
      <c r="X73" s="297"/>
      <c r="Y73" s="297"/>
      <c r="Z73" s="297"/>
      <c r="AA73" s="297"/>
      <c r="AB73" s="297"/>
      <c r="AC73" s="328">
        <f>150</f>
        <v>150</v>
      </c>
      <c r="AD73" s="297"/>
      <c r="AE73" s="297"/>
      <c r="AF73" s="297"/>
      <c r="AG73" s="297"/>
      <c r="AH73" s="5996">
        <f t="shared" si="36"/>
        <v>0</v>
      </c>
      <c r="AI73" s="297"/>
      <c r="AJ73" s="297"/>
      <c r="AK73" s="297"/>
      <c r="AL73" s="297"/>
      <c r="AM73" s="297"/>
      <c r="AN73" s="5997"/>
    </row>
    <row r="74" spans="1:40" s="596" customFormat="1">
      <c r="A74" s="603">
        <v>55</v>
      </c>
      <c r="B74" s="610" t="s">
        <v>714</v>
      </c>
      <c r="C74" s="5128">
        <f t="shared" si="32"/>
        <v>300</v>
      </c>
      <c r="D74" s="5120">
        <f t="shared" si="35"/>
        <v>0</v>
      </c>
      <c r="E74" s="297"/>
      <c r="F74" s="297"/>
      <c r="G74" s="2625"/>
      <c r="H74" s="297"/>
      <c r="I74" s="2625"/>
      <c r="J74" s="297"/>
      <c r="K74" s="297"/>
      <c r="L74" s="297"/>
      <c r="M74" s="297"/>
      <c r="N74" s="297"/>
      <c r="O74" s="297"/>
      <c r="P74" s="4775">
        <f t="shared" si="33"/>
        <v>300</v>
      </c>
      <c r="Q74" s="5996"/>
      <c r="R74" s="297"/>
      <c r="S74" s="297"/>
      <c r="T74" s="297"/>
      <c r="U74" s="297"/>
      <c r="V74" s="5996"/>
      <c r="W74" s="297"/>
      <c r="X74" s="297"/>
      <c r="Y74" s="297"/>
      <c r="Z74" s="297"/>
      <c r="AA74" s="297"/>
      <c r="AB74" s="297"/>
      <c r="AC74" s="328">
        <v>300</v>
      </c>
      <c r="AD74" s="297"/>
      <c r="AE74" s="297"/>
      <c r="AF74" s="297"/>
      <c r="AG74" s="297"/>
      <c r="AH74" s="5996">
        <f t="shared" si="36"/>
        <v>0</v>
      </c>
      <c r="AI74" s="297"/>
      <c r="AJ74" s="297"/>
      <c r="AK74" s="297"/>
      <c r="AL74" s="297"/>
      <c r="AM74" s="297"/>
      <c r="AN74" s="5997"/>
    </row>
    <row r="75" spans="1:40" s="596" customFormat="1">
      <c r="A75" s="603">
        <v>56</v>
      </c>
      <c r="B75" s="610" t="s">
        <v>715</v>
      </c>
      <c r="C75" s="5128">
        <f t="shared" si="32"/>
        <v>0</v>
      </c>
      <c r="D75" s="5120">
        <f t="shared" si="35"/>
        <v>0</v>
      </c>
      <c r="E75" s="297"/>
      <c r="F75" s="297"/>
      <c r="G75" s="2625"/>
      <c r="H75" s="297"/>
      <c r="I75" s="2625"/>
      <c r="J75" s="297"/>
      <c r="K75" s="297"/>
      <c r="L75" s="297"/>
      <c r="M75" s="297"/>
      <c r="N75" s="297"/>
      <c r="O75" s="297"/>
      <c r="P75" s="4775">
        <f t="shared" si="33"/>
        <v>0</v>
      </c>
      <c r="Q75" s="5996"/>
      <c r="R75" s="297"/>
      <c r="S75" s="297"/>
      <c r="T75" s="297"/>
      <c r="U75" s="297"/>
      <c r="V75" s="5996"/>
      <c r="W75" s="297"/>
      <c r="X75" s="297"/>
      <c r="Y75" s="297"/>
      <c r="Z75" s="297"/>
      <c r="AA75" s="297"/>
      <c r="AB75" s="297"/>
      <c r="AC75" s="328"/>
      <c r="AD75" s="297"/>
      <c r="AE75" s="297"/>
      <c r="AF75" s="297"/>
      <c r="AG75" s="297"/>
      <c r="AH75" s="5996">
        <f t="shared" si="36"/>
        <v>0</v>
      </c>
      <c r="AI75" s="297"/>
      <c r="AJ75" s="297"/>
      <c r="AK75" s="297"/>
      <c r="AL75" s="297"/>
      <c r="AM75" s="297"/>
      <c r="AN75" s="5997"/>
    </row>
    <row r="76" spans="1:40" s="596" customFormat="1">
      <c r="A76" s="603">
        <v>57</v>
      </c>
      <c r="B76" s="610" t="s">
        <v>716</v>
      </c>
      <c r="C76" s="5128">
        <f t="shared" si="32"/>
        <v>300</v>
      </c>
      <c r="D76" s="5120">
        <f t="shared" si="35"/>
        <v>0</v>
      </c>
      <c r="E76" s="297"/>
      <c r="F76" s="297"/>
      <c r="G76" s="2625"/>
      <c r="H76" s="297"/>
      <c r="I76" s="2625"/>
      <c r="J76" s="297"/>
      <c r="K76" s="297"/>
      <c r="L76" s="297"/>
      <c r="M76" s="297"/>
      <c r="N76" s="297"/>
      <c r="O76" s="297"/>
      <c r="P76" s="4775">
        <f>SUM(Q76:AC76)</f>
        <v>300</v>
      </c>
      <c r="Q76" s="5996"/>
      <c r="R76" s="297"/>
      <c r="S76" s="297"/>
      <c r="T76" s="297"/>
      <c r="U76" s="297"/>
      <c r="V76" s="5996"/>
      <c r="W76" s="297"/>
      <c r="X76" s="297"/>
      <c r="Y76" s="297"/>
      <c r="Z76" s="297"/>
      <c r="AA76" s="297"/>
      <c r="AB76" s="297"/>
      <c r="AC76" s="328">
        <v>300</v>
      </c>
      <c r="AD76" s="297"/>
      <c r="AE76" s="297"/>
      <c r="AF76" s="297"/>
      <c r="AG76" s="297"/>
      <c r="AH76" s="5996">
        <f t="shared" si="36"/>
        <v>0</v>
      </c>
      <c r="AI76" s="297"/>
      <c r="AJ76" s="297"/>
      <c r="AK76" s="297"/>
      <c r="AL76" s="297"/>
      <c r="AM76" s="297"/>
      <c r="AN76" s="5997"/>
    </row>
    <row r="77" spans="1:40" s="596" customFormat="1">
      <c r="A77" s="603">
        <v>58</v>
      </c>
      <c r="B77" s="610" t="s">
        <v>717</v>
      </c>
      <c r="C77" s="5128">
        <f t="shared" si="32"/>
        <v>200</v>
      </c>
      <c r="D77" s="5120">
        <f t="shared" si="35"/>
        <v>0</v>
      </c>
      <c r="E77" s="297"/>
      <c r="F77" s="297"/>
      <c r="G77" s="2625"/>
      <c r="H77" s="297"/>
      <c r="I77" s="2625"/>
      <c r="J77" s="297"/>
      <c r="K77" s="297"/>
      <c r="L77" s="297"/>
      <c r="M77" s="297"/>
      <c r="N77" s="297"/>
      <c r="O77" s="297"/>
      <c r="P77" s="4775">
        <f t="shared" si="33"/>
        <v>200</v>
      </c>
      <c r="Q77" s="5996"/>
      <c r="R77" s="297"/>
      <c r="S77" s="297"/>
      <c r="T77" s="297"/>
      <c r="U77" s="297"/>
      <c r="V77" s="5996"/>
      <c r="W77" s="297"/>
      <c r="X77" s="297"/>
      <c r="Y77" s="297"/>
      <c r="Z77" s="297"/>
      <c r="AA77" s="297"/>
      <c r="AB77" s="297"/>
      <c r="AC77" s="328">
        <v>200</v>
      </c>
      <c r="AD77" s="297"/>
      <c r="AE77" s="297"/>
      <c r="AF77" s="297"/>
      <c r="AG77" s="297"/>
      <c r="AH77" s="5996">
        <f t="shared" si="36"/>
        <v>0</v>
      </c>
      <c r="AI77" s="297"/>
      <c r="AJ77" s="297"/>
      <c r="AK77" s="297"/>
      <c r="AL77" s="297"/>
      <c r="AM77" s="297"/>
      <c r="AN77" s="5997"/>
    </row>
    <row r="78" spans="1:40" s="5111" customFormat="1" hidden="1">
      <c r="A78" s="622"/>
      <c r="B78" s="5872"/>
      <c r="C78" s="5128">
        <f t="shared" si="32"/>
        <v>0</v>
      </c>
      <c r="D78" s="5128"/>
      <c r="E78" s="330"/>
      <c r="F78" s="330"/>
      <c r="G78" s="5126"/>
      <c r="H78" s="330"/>
      <c r="I78" s="5126"/>
      <c r="J78" s="330"/>
      <c r="K78" s="330"/>
      <c r="L78" s="330"/>
      <c r="M78" s="330"/>
      <c r="N78" s="330"/>
      <c r="O78" s="330"/>
      <c r="P78" s="595">
        <f t="shared" si="33"/>
        <v>0</v>
      </c>
      <c r="Q78" s="5117"/>
      <c r="R78" s="330"/>
      <c r="S78" s="330"/>
      <c r="T78" s="330"/>
      <c r="U78" s="330"/>
      <c r="V78" s="5117"/>
      <c r="W78" s="330"/>
      <c r="X78" s="330"/>
      <c r="Y78" s="6009"/>
      <c r="Z78" s="330"/>
      <c r="AA78" s="330"/>
      <c r="AB78" s="330"/>
      <c r="AC78" s="329"/>
      <c r="AD78" s="330"/>
      <c r="AE78" s="330"/>
      <c r="AF78" s="330"/>
      <c r="AG78" s="330"/>
      <c r="AH78" s="5117"/>
      <c r="AI78" s="330"/>
      <c r="AJ78" s="330"/>
      <c r="AK78" s="330"/>
      <c r="AL78" s="330"/>
      <c r="AM78" s="330"/>
      <c r="AN78" s="1659"/>
    </row>
    <row r="79" spans="1:40" s="5111" customFormat="1">
      <c r="A79" s="622">
        <v>60</v>
      </c>
      <c r="B79" s="5872" t="s">
        <v>3211</v>
      </c>
      <c r="C79" s="5128">
        <f t="shared" si="32"/>
        <v>9765</v>
      </c>
      <c r="D79" s="5128"/>
      <c r="E79" s="330"/>
      <c r="F79" s="330"/>
      <c r="G79" s="5126"/>
      <c r="H79" s="330"/>
      <c r="I79" s="5126"/>
      <c r="J79" s="330"/>
      <c r="K79" s="330"/>
      <c r="L79" s="330"/>
      <c r="M79" s="330"/>
      <c r="N79" s="330"/>
      <c r="O79" s="330"/>
      <c r="P79" s="595">
        <f t="shared" si="33"/>
        <v>9765</v>
      </c>
      <c r="Q79" s="5117"/>
      <c r="R79" s="330"/>
      <c r="S79" s="330"/>
      <c r="T79" s="330"/>
      <c r="U79" s="330"/>
      <c r="V79" s="5117"/>
      <c r="W79" s="329">
        <v>9765</v>
      </c>
      <c r="X79" s="330"/>
      <c r="Y79" s="6009"/>
      <c r="Z79" s="330"/>
      <c r="AA79" s="330"/>
      <c r="AB79" s="330"/>
      <c r="AC79" s="329"/>
      <c r="AD79" s="330"/>
      <c r="AE79" s="330"/>
      <c r="AF79" s="330"/>
      <c r="AG79" s="330"/>
      <c r="AH79" s="5117"/>
      <c r="AI79" s="330"/>
      <c r="AJ79" s="330"/>
      <c r="AK79" s="330"/>
      <c r="AL79" s="330"/>
      <c r="AM79" s="330"/>
      <c r="AN79" s="1659"/>
    </row>
    <row r="80" spans="1:40" s="596" customFormat="1" ht="52.2">
      <c r="A80" s="606" t="s">
        <v>718</v>
      </c>
      <c r="B80" s="5873" t="s">
        <v>719</v>
      </c>
      <c r="C80" s="5128">
        <f>D80+P80+AD80+AE80+AH80+AL80+AF80+AG80+AK80</f>
        <v>223316.56339799988</v>
      </c>
      <c r="D80" s="5971">
        <f>D81+D83+D85+D87+D91+D97+D100+D108</f>
        <v>0</v>
      </c>
      <c r="E80" s="5971">
        <f>E81+E83+E85+E87+E91+E97+E100+E108</f>
        <v>0</v>
      </c>
      <c r="F80" s="5971">
        <f>F81+F83+F85+F87+F91+F97+F100+F108</f>
        <v>0</v>
      </c>
      <c r="G80" s="5972"/>
      <c r="H80" s="5971">
        <f>H81+H83+H85+H87+H91+H97+H100+H108</f>
        <v>0</v>
      </c>
      <c r="I80" s="5972"/>
      <c r="J80" s="5971">
        <f>J81+J83+J85+J87+J91+J97+J100+J108</f>
        <v>0</v>
      </c>
      <c r="K80" s="5971">
        <f>K81+K83+K85+K87+K91+K97+K100+K108</f>
        <v>0</v>
      </c>
      <c r="L80" s="5971"/>
      <c r="M80" s="5971"/>
      <c r="N80" s="5971"/>
      <c r="O80" s="5971"/>
      <c r="P80" s="5966">
        <f>SUM(Q80:AC80)</f>
        <v>211256.56339799988</v>
      </c>
      <c r="Q80" s="5971">
        <f>SUM(Q81)</f>
        <v>15076.399999999907</v>
      </c>
      <c r="R80" s="5971">
        <f>SUM(R81:R83)</f>
        <v>0</v>
      </c>
      <c r="S80" s="5971">
        <f>SUM(S81:T85)</f>
        <v>0</v>
      </c>
      <c r="T80" s="5971">
        <f>SUM(T82:T85)</f>
        <v>0</v>
      </c>
      <c r="U80" s="5971">
        <f>SUM(U82:U89)</f>
        <v>0.25699999998323619</v>
      </c>
      <c r="V80" s="5971">
        <f>SUM(V82:V91)</f>
        <v>0</v>
      </c>
      <c r="W80" s="5971">
        <f>SUM(W82:W93)</f>
        <v>0</v>
      </c>
      <c r="X80" s="5971">
        <f>SUM(X82:X95)</f>
        <v>0</v>
      </c>
      <c r="Y80" s="5971">
        <f>SUM(Y82:Y97)</f>
        <v>9000</v>
      </c>
      <c r="Z80" s="5971">
        <f>SUM(Z81:Z100)</f>
        <v>157472.49299999996</v>
      </c>
      <c r="AA80" s="5971">
        <f>SUM(AA81:AA106)</f>
        <v>13652.513398000039</v>
      </c>
      <c r="AB80" s="5971">
        <f>SUM(AB81:AB108)</f>
        <v>0.10000000000582077</v>
      </c>
      <c r="AC80" s="5971">
        <f>SUM(AC82:AC111)</f>
        <v>16054.8</v>
      </c>
      <c r="AD80" s="5971">
        <f>SUM(AD82:AD113)</f>
        <v>0</v>
      </c>
      <c r="AE80" s="5971">
        <f>SUM(AE82:AE113)</f>
        <v>0</v>
      </c>
      <c r="AF80" s="5971">
        <f>SUM(AF82:AF113)</f>
        <v>0</v>
      </c>
      <c r="AG80" s="5971">
        <f>SUM(AG82:AG113)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6002">
        <f>SUM(AL82:AL113)</f>
        <v>0</v>
      </c>
      <c r="AM80" s="297"/>
      <c r="AN80" s="5997"/>
    </row>
    <row r="81" spans="1:40" s="380" customFormat="1">
      <c r="A81" s="611">
        <v>1</v>
      </c>
      <c r="B81" s="2881" t="s">
        <v>1696</v>
      </c>
      <c r="C81" s="5128">
        <f>+C82</f>
        <v>12636.937382673808</v>
      </c>
      <c r="D81" s="5971"/>
      <c r="E81" s="5971"/>
      <c r="F81" s="5971"/>
      <c r="G81" s="5972"/>
      <c r="H81" s="5971"/>
      <c r="I81" s="5972"/>
      <c r="J81" s="5971"/>
      <c r="K81" s="5971"/>
      <c r="L81" s="5971"/>
      <c r="M81" s="5971"/>
      <c r="N81" s="5971"/>
      <c r="O81" s="5971"/>
      <c r="P81" s="5117">
        <f>SUM(Q81:AC81)</f>
        <v>15076.399999999907</v>
      </c>
      <c r="Q81" s="5117">
        <f>+Q82+Q113</f>
        <v>15076.399999999907</v>
      </c>
      <c r="R81" s="5971"/>
      <c r="S81" s="5971"/>
      <c r="T81" s="5971"/>
      <c r="U81" s="5971"/>
      <c r="V81" s="5971"/>
      <c r="W81" s="5971"/>
      <c r="X81" s="5971"/>
      <c r="Y81" s="5971"/>
      <c r="Z81" s="5971"/>
      <c r="AA81" s="5971"/>
      <c r="AB81" s="5971"/>
      <c r="AC81" s="5971"/>
      <c r="AD81" s="5971"/>
      <c r="AE81" s="5971"/>
      <c r="AF81" s="5971"/>
      <c r="AG81" s="5971"/>
      <c r="AH81" s="5971">
        <f>+AH82</f>
        <v>0</v>
      </c>
      <c r="AI81" s="5971">
        <f>+AI82</f>
        <v>0</v>
      </c>
      <c r="AJ81" s="5971">
        <f>+AJ82</f>
        <v>0</v>
      </c>
      <c r="AK81" s="5971"/>
      <c r="AL81" s="6010"/>
      <c r="AM81" s="330"/>
      <c r="AN81" s="1659"/>
    </row>
    <row r="82" spans="1:40" s="617" customFormat="1" ht="36">
      <c r="A82" s="614" t="s">
        <v>99</v>
      </c>
      <c r="B82" s="5874" t="str">
        <f>+B84</f>
        <v>Trong đó; Một số nhiệm vụ chi phải báo cáo cấp có thẩm quyền xem xét, quyết định cho phép thực hiện</v>
      </c>
      <c r="C82" s="5960">
        <f>D82+P82+AD82+AE82+AH82+AL82+AF82+AG82+AK82+AM82</f>
        <v>12636.937382673808</v>
      </c>
      <c r="D82" s="5960">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22">
        <f>+'Phụ lục số 6'!E31-'Phụ lục số 6'!E31</f>
        <v>0</v>
      </c>
      <c r="AK82" s="2625"/>
      <c r="AL82" s="2625"/>
      <c r="AM82" s="2625"/>
      <c r="AN82" s="6012"/>
    </row>
    <row r="83" spans="1:40" s="380" customFormat="1">
      <c r="A83" s="611">
        <v>2</v>
      </c>
      <c r="B83" s="2890" t="s">
        <v>1697</v>
      </c>
      <c r="C83" s="5120">
        <f t="shared" ref="C83:C97" si="38">D83+P83+AD83+AE83+AH83+AL83+AF83+AG83+AK83</f>
        <v>0</v>
      </c>
      <c r="D83" s="330">
        <f t="shared" ref="D83:D84" si="39">SUM(E83:J83)</f>
        <v>0</v>
      </c>
      <c r="E83" s="330"/>
      <c r="F83" s="330"/>
      <c r="G83" s="5126"/>
      <c r="H83" s="330"/>
      <c r="I83" s="5126"/>
      <c r="J83" s="330"/>
      <c r="K83" s="330"/>
      <c r="L83" s="330"/>
      <c r="M83" s="330"/>
      <c r="N83" s="330"/>
      <c r="O83" s="330"/>
      <c r="P83" s="5117">
        <f t="shared" si="37"/>
        <v>0</v>
      </c>
      <c r="Q83" s="5117"/>
      <c r="R83" s="1658">
        <f>+R84+S113</f>
        <v>0</v>
      </c>
      <c r="S83" s="329"/>
      <c r="T83" s="330"/>
      <c r="U83" s="330"/>
      <c r="V83" s="5117"/>
      <c r="W83" s="330"/>
      <c r="X83" s="330"/>
      <c r="Y83" s="330"/>
      <c r="Z83" s="330"/>
      <c r="AA83" s="330"/>
      <c r="AB83" s="330"/>
      <c r="AC83" s="330"/>
      <c r="AD83" s="330"/>
      <c r="AE83" s="330"/>
      <c r="AF83" s="330"/>
      <c r="AG83" s="330"/>
      <c r="AH83" s="5117"/>
      <c r="AI83" s="330"/>
      <c r="AJ83" s="330"/>
      <c r="AK83" s="330"/>
      <c r="AL83" s="330"/>
      <c r="AM83" s="330"/>
      <c r="AN83" s="1659"/>
    </row>
    <row r="84" spans="1:40" s="617" customFormat="1" ht="36">
      <c r="A84" s="620"/>
      <c r="B84" s="5874" t="str">
        <f>+B86</f>
        <v>Trong đó; Một số nhiệm vụ chi phải báo cáo cấp có thẩm quyền xem xét, quyết định cho phép thực hiện</v>
      </c>
      <c r="C84" s="5960">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23">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12"/>
    </row>
    <row r="85" spans="1:40" s="621" customFormat="1">
      <c r="A85" s="611">
        <v>3</v>
      </c>
      <c r="B85" s="5875" t="str">
        <f>+S9</f>
        <v>Chi quốc phòng; An ninh và trật tư an toàn xã hội</v>
      </c>
      <c r="C85" s="5120">
        <f t="shared" si="38"/>
        <v>0</v>
      </c>
      <c r="D85" s="5126"/>
      <c r="E85" s="5126"/>
      <c r="F85" s="5126"/>
      <c r="G85" s="5126"/>
      <c r="H85" s="5126"/>
      <c r="I85" s="5126"/>
      <c r="J85" s="5126"/>
      <c r="K85" s="5126"/>
      <c r="L85" s="5126"/>
      <c r="M85" s="5126"/>
      <c r="N85" s="5126"/>
      <c r="O85" s="5126"/>
      <c r="P85" s="5116">
        <f t="shared" ref="P85:P110" si="40">SUM(R85:AC85)</f>
        <v>0</v>
      </c>
      <c r="Q85" s="5116"/>
      <c r="R85" s="5116"/>
      <c r="S85" s="1658">
        <f>+S86+S113</f>
        <v>0</v>
      </c>
      <c r="T85" s="5116">
        <f>T86</f>
        <v>0</v>
      </c>
      <c r="U85" s="5126"/>
      <c r="V85" s="5116"/>
      <c r="W85" s="5126"/>
      <c r="X85" s="5126"/>
      <c r="Y85" s="5126"/>
      <c r="Z85" s="5126"/>
      <c r="AA85" s="5126"/>
      <c r="AB85" s="5126"/>
      <c r="AC85" s="5126"/>
      <c r="AD85" s="5126"/>
      <c r="AE85" s="5126"/>
      <c r="AF85" s="5126"/>
      <c r="AG85" s="5126"/>
      <c r="AH85" s="5116"/>
      <c r="AI85" s="5126"/>
      <c r="AJ85" s="5126"/>
      <c r="AK85" s="5126"/>
      <c r="AL85" s="5126"/>
      <c r="AM85" s="5126"/>
      <c r="AN85" s="6013"/>
    </row>
    <row r="86" spans="1:40" s="617" customFormat="1" ht="36">
      <c r="A86" s="614"/>
      <c r="B86" s="5874" t="str">
        <f>+B90</f>
        <v>Trong đó; Một số nhiệm vụ chi phải báo cáo cấp có thẩm quyền xem xét, quyết định cho phép thực hiện</v>
      </c>
      <c r="C86" s="5120">
        <f>D86+P86+AD86+AE86+AH86+AL86+AF86+AG86+AK86+AM86</f>
        <v>0</v>
      </c>
      <c r="D86" s="2625"/>
      <c r="E86" s="2625"/>
      <c r="F86" s="2625"/>
      <c r="G86" s="2625"/>
      <c r="H86" s="2625"/>
      <c r="I86" s="2625"/>
      <c r="J86" s="2625"/>
      <c r="K86" s="2625"/>
      <c r="L86" s="2625"/>
      <c r="M86" s="2625"/>
      <c r="N86" s="2625"/>
      <c r="O86" s="2625"/>
      <c r="P86" s="629">
        <f t="shared" si="40"/>
        <v>0</v>
      </c>
      <c r="Q86" s="629"/>
      <c r="R86" s="629"/>
      <c r="S86" s="5122">
        <f>150000-S12-S44-S59-S113</f>
        <v>0</v>
      </c>
      <c r="T86" s="5122"/>
      <c r="U86" s="2625"/>
      <c r="V86" s="629"/>
      <c r="W86" s="2625"/>
      <c r="X86" s="2625"/>
      <c r="Y86" s="2625"/>
      <c r="Z86" s="2625"/>
      <c r="AA86" s="2625"/>
      <c r="AB86" s="2625"/>
      <c r="AC86" s="2625"/>
      <c r="AD86" s="2625"/>
      <c r="AE86" s="2625"/>
      <c r="AF86" s="2625"/>
      <c r="AG86" s="2625"/>
      <c r="AH86" s="629"/>
      <c r="AI86" s="2625"/>
      <c r="AJ86" s="2625"/>
      <c r="AK86" s="2625"/>
      <c r="AL86" s="2625"/>
      <c r="AM86" s="2625"/>
      <c r="AN86" s="6012"/>
    </row>
    <row r="87" spans="1:40" s="5111" customFormat="1" hidden="1">
      <c r="A87" s="622">
        <v>4</v>
      </c>
      <c r="B87" s="5876" t="s">
        <v>1787</v>
      </c>
      <c r="C87" s="5120">
        <f t="shared" si="38"/>
        <v>0</v>
      </c>
      <c r="D87" s="330"/>
      <c r="E87" s="330"/>
      <c r="F87" s="330"/>
      <c r="G87" s="5126"/>
      <c r="H87" s="330"/>
      <c r="I87" s="5126"/>
      <c r="J87" s="330"/>
      <c r="K87" s="330"/>
      <c r="L87" s="330"/>
      <c r="M87" s="330"/>
      <c r="N87" s="330"/>
      <c r="O87" s="330"/>
      <c r="P87" s="5116">
        <f>SUM(R87:AC87)</f>
        <v>0</v>
      </c>
      <c r="Q87" s="5116"/>
      <c r="R87" s="5117"/>
      <c r="S87" s="330"/>
      <c r="T87" s="329"/>
      <c r="U87" s="5117">
        <f>U88</f>
        <v>0</v>
      </c>
      <c r="V87" s="5117">
        <f t="shared" ref="V87:AJ87" si="41">V88</f>
        <v>0</v>
      </c>
      <c r="W87" s="5117"/>
      <c r="X87" s="5117"/>
      <c r="Y87" s="5117"/>
      <c r="Z87" s="5117"/>
      <c r="AA87" s="5117"/>
      <c r="AB87" s="5117"/>
      <c r="AC87" s="5117"/>
      <c r="AD87" s="5117">
        <f t="shared" si="41"/>
        <v>0</v>
      </c>
      <c r="AE87" s="5117">
        <f t="shared" si="41"/>
        <v>0</v>
      </c>
      <c r="AF87" s="5117">
        <f t="shared" si="41"/>
        <v>0</v>
      </c>
      <c r="AG87" s="5117">
        <f t="shared" si="41"/>
        <v>0</v>
      </c>
      <c r="AH87" s="5117">
        <f t="shared" si="41"/>
        <v>0</v>
      </c>
      <c r="AI87" s="5117">
        <f t="shared" si="41"/>
        <v>0</v>
      </c>
      <c r="AJ87" s="5117">
        <f t="shared" si="41"/>
        <v>0</v>
      </c>
      <c r="AK87" s="5117"/>
      <c r="AL87" s="330"/>
      <c r="AM87" s="330"/>
      <c r="AN87" s="1659"/>
    </row>
    <row r="88" spans="1:40" s="624" customFormat="1" hidden="1">
      <c r="A88" s="625"/>
      <c r="B88" s="5877"/>
      <c r="C88" s="5120">
        <f t="shared" si="38"/>
        <v>0</v>
      </c>
      <c r="D88" s="2625"/>
      <c r="E88" s="2625"/>
      <c r="F88" s="2625"/>
      <c r="G88" s="2625"/>
      <c r="H88" s="2625"/>
      <c r="I88" s="2625"/>
      <c r="J88" s="2625"/>
      <c r="K88" s="2625"/>
      <c r="L88" s="2625"/>
      <c r="M88" s="2625"/>
      <c r="N88" s="2625"/>
      <c r="O88" s="2625"/>
      <c r="P88" s="629">
        <f t="shared" si="40"/>
        <v>0</v>
      </c>
      <c r="Q88" s="629"/>
      <c r="R88" s="629"/>
      <c r="S88" s="2625"/>
      <c r="T88" s="5122"/>
      <c r="U88" s="629"/>
      <c r="V88" s="629"/>
      <c r="W88" s="2625"/>
      <c r="X88" s="2625"/>
      <c r="Y88" s="2625"/>
      <c r="Z88" s="2625"/>
      <c r="AA88" s="2625"/>
      <c r="AB88" s="2625"/>
      <c r="AC88" s="2625"/>
      <c r="AD88" s="2625"/>
      <c r="AE88" s="2625"/>
      <c r="AF88" s="2625"/>
      <c r="AG88" s="2625"/>
      <c r="AH88" s="629">
        <f t="shared" ref="AH88:AH124" si="42">SUM(AI88:AJ88)</f>
        <v>0</v>
      </c>
      <c r="AI88" s="2625"/>
      <c r="AJ88" s="5122"/>
      <c r="AK88" s="5122"/>
      <c r="AL88" s="2625"/>
      <c r="AM88" s="2625"/>
      <c r="AN88" s="6012"/>
    </row>
    <row r="89" spans="1:40" s="4598" customFormat="1">
      <c r="A89" s="611">
        <v>4</v>
      </c>
      <c r="B89" s="5878" t="s">
        <v>1788</v>
      </c>
      <c r="C89" s="5128">
        <f t="shared" si="38"/>
        <v>0.25699999998323619</v>
      </c>
      <c r="D89" s="330"/>
      <c r="E89" s="330"/>
      <c r="F89" s="330"/>
      <c r="G89" s="5126"/>
      <c r="H89" s="330"/>
      <c r="I89" s="5126"/>
      <c r="J89" s="330"/>
      <c r="K89" s="330"/>
      <c r="L89" s="330"/>
      <c r="M89" s="330"/>
      <c r="N89" s="330"/>
      <c r="O89" s="330"/>
      <c r="P89" s="5117">
        <f>SUM(R89:AC89)</f>
        <v>0.25699999998323619</v>
      </c>
      <c r="Q89" s="5117"/>
      <c r="R89" s="5117"/>
      <c r="S89" s="330"/>
      <c r="T89" s="329"/>
      <c r="U89" s="5117">
        <f>U90</f>
        <v>0.25699999998323619</v>
      </c>
      <c r="V89" s="5117"/>
      <c r="W89" s="330"/>
      <c r="X89" s="330"/>
      <c r="Y89" s="330"/>
      <c r="Z89" s="330"/>
      <c r="AA89" s="330"/>
      <c r="AB89" s="330"/>
      <c r="AC89" s="330"/>
      <c r="AD89" s="330"/>
      <c r="AE89" s="330"/>
      <c r="AF89" s="330"/>
      <c r="AG89" s="330"/>
      <c r="AH89" s="5117">
        <f>+AI89+AJ89</f>
        <v>0</v>
      </c>
      <c r="AI89" s="330">
        <f>+AI90</f>
        <v>0</v>
      </c>
      <c r="AJ89" s="329">
        <f>+AJ90</f>
        <v>0</v>
      </c>
      <c r="AK89" s="329"/>
      <c r="AL89" s="330"/>
      <c r="AM89" s="330"/>
      <c r="AN89" s="1659"/>
    </row>
    <row r="90" spans="1:40" s="624" customFormat="1" ht="36">
      <c r="A90" s="625"/>
      <c r="B90" s="5874" t="s">
        <v>3215</v>
      </c>
      <c r="C90" s="5960">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22"/>
      <c r="U90" s="629">
        <f>997261-U12-U44-U59-U113-U63</f>
        <v>0.25699999998323619</v>
      </c>
      <c r="V90" s="629"/>
      <c r="W90" s="2625"/>
      <c r="X90" s="2625"/>
      <c r="Y90" s="2625"/>
      <c r="Z90" s="2625"/>
      <c r="AA90" s="2625"/>
      <c r="AB90" s="2625"/>
      <c r="AC90" s="2625"/>
      <c r="AD90" s="2625"/>
      <c r="AE90" s="2625"/>
      <c r="AF90" s="2625"/>
      <c r="AG90" s="2625"/>
      <c r="AH90" s="629">
        <f>+AI90+AJ90</f>
        <v>0</v>
      </c>
      <c r="AI90" s="2625"/>
      <c r="AJ90" s="5122"/>
      <c r="AK90" s="5122"/>
      <c r="AL90" s="2625"/>
      <c r="AM90" s="2625"/>
      <c r="AN90" s="6012"/>
    </row>
    <row r="91" spans="1:40" s="380" customFormat="1">
      <c r="A91" s="611">
        <v>5</v>
      </c>
      <c r="B91" s="5878" t="s">
        <v>1789</v>
      </c>
      <c r="C91" s="5120">
        <f t="shared" si="38"/>
        <v>0</v>
      </c>
      <c r="D91" s="330"/>
      <c r="E91" s="330"/>
      <c r="F91" s="330"/>
      <c r="G91" s="5126"/>
      <c r="H91" s="330"/>
      <c r="I91" s="5126"/>
      <c r="J91" s="330"/>
      <c r="K91" s="330"/>
      <c r="L91" s="330"/>
      <c r="M91" s="330"/>
      <c r="N91" s="330"/>
      <c r="O91" s="330"/>
      <c r="P91" s="629">
        <f t="shared" si="40"/>
        <v>0</v>
      </c>
      <c r="Q91" s="629"/>
      <c r="R91" s="5117"/>
      <c r="S91" s="330"/>
      <c r="T91" s="329"/>
      <c r="U91" s="5117"/>
      <c r="V91" s="6014">
        <f>V92</f>
        <v>0</v>
      </c>
      <c r="W91" s="5117"/>
      <c r="X91" s="330"/>
      <c r="Y91" s="330"/>
      <c r="Z91" s="330"/>
      <c r="AA91" s="330"/>
      <c r="AB91" s="330"/>
      <c r="AC91" s="330"/>
      <c r="AD91" s="330"/>
      <c r="AE91" s="330"/>
      <c r="AF91" s="330"/>
      <c r="AG91" s="330"/>
      <c r="AH91" s="5117"/>
      <c r="AI91" s="330"/>
      <c r="AJ91" s="329"/>
      <c r="AK91" s="329"/>
      <c r="AL91" s="330"/>
      <c r="AM91" s="330"/>
      <c r="AN91" s="1659"/>
    </row>
    <row r="92" spans="1:40" s="617" customFormat="1" ht="36">
      <c r="A92" s="614" t="s">
        <v>99</v>
      </c>
      <c r="B92" s="5874" t="s">
        <v>3215</v>
      </c>
      <c r="C92" s="5120">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22"/>
      <c r="U92" s="629"/>
      <c r="V92" s="6015">
        <f>55631-V12-V44-V59-V63-V113</f>
        <v>0</v>
      </c>
      <c r="W92" s="5122"/>
      <c r="X92" s="2625"/>
      <c r="Y92" s="2625"/>
      <c r="Z92" s="2625"/>
      <c r="AA92" s="2625"/>
      <c r="AB92" s="2625"/>
      <c r="AC92" s="2625"/>
      <c r="AD92" s="2625"/>
      <c r="AE92" s="2625"/>
      <c r="AF92" s="2625"/>
      <c r="AG92" s="2625"/>
      <c r="AH92" s="629"/>
      <c r="AI92" s="2625"/>
      <c r="AJ92" s="5122"/>
      <c r="AK92" s="5122"/>
      <c r="AL92" s="2625"/>
      <c r="AM92" s="2625"/>
      <c r="AN92" s="6012"/>
    </row>
    <row r="93" spans="1:40" s="624" customFormat="1">
      <c r="A93" s="622">
        <v>6</v>
      </c>
      <c r="B93" s="5876" t="s">
        <v>1790</v>
      </c>
      <c r="C93" s="5120">
        <f t="shared" si="38"/>
        <v>0</v>
      </c>
      <c r="D93" s="2625"/>
      <c r="E93" s="2625"/>
      <c r="F93" s="2625"/>
      <c r="G93" s="2625"/>
      <c r="H93" s="2625"/>
      <c r="I93" s="2625"/>
      <c r="J93" s="2625"/>
      <c r="K93" s="2625"/>
      <c r="L93" s="2625"/>
      <c r="M93" s="2625"/>
      <c r="N93" s="2625"/>
      <c r="O93" s="2625"/>
      <c r="P93" s="629"/>
      <c r="Q93" s="629"/>
      <c r="R93" s="629"/>
      <c r="S93" s="2625"/>
      <c r="T93" s="5122"/>
      <c r="U93" s="629"/>
      <c r="V93" s="629"/>
      <c r="W93" s="329">
        <f>W94</f>
        <v>0</v>
      </c>
      <c r="X93" s="330"/>
      <c r="Y93" s="2625"/>
      <c r="Z93" s="2625"/>
      <c r="AA93" s="2625"/>
      <c r="AB93" s="2625"/>
      <c r="AC93" s="2625"/>
      <c r="AD93" s="2625"/>
      <c r="AE93" s="2625"/>
      <c r="AF93" s="2625"/>
      <c r="AG93" s="2625"/>
      <c r="AH93" s="629"/>
      <c r="AI93" s="2625"/>
      <c r="AJ93" s="5122"/>
      <c r="AK93" s="5122"/>
      <c r="AL93" s="2625"/>
      <c r="AM93" s="2625"/>
      <c r="AN93" s="6012"/>
    </row>
    <row r="94" spans="1:40" s="624" customFormat="1" ht="36">
      <c r="A94" s="625" t="s">
        <v>99</v>
      </c>
      <c r="B94" s="5874" t="s">
        <v>3215</v>
      </c>
      <c r="C94" s="5960">
        <f>D94+P94+AD94+AE94+AH94+AL94+AF94+AG94+AK94+AM94</f>
        <v>0</v>
      </c>
      <c r="D94" s="2625"/>
      <c r="E94" s="2625"/>
      <c r="F94" s="2625"/>
      <c r="G94" s="2625"/>
      <c r="H94" s="2625"/>
      <c r="I94" s="2625"/>
      <c r="J94" s="2625"/>
      <c r="K94" s="2625"/>
      <c r="L94" s="2625"/>
      <c r="M94" s="2625"/>
      <c r="N94" s="2625"/>
      <c r="O94" s="2625"/>
      <c r="P94" s="629"/>
      <c r="Q94" s="629"/>
      <c r="R94" s="629"/>
      <c r="S94" s="2625"/>
      <c r="T94" s="5122"/>
      <c r="U94" s="629"/>
      <c r="V94" s="629"/>
      <c r="W94" s="5122">
        <f>32394-W12-W44-W59-W63-W113</f>
        <v>0</v>
      </c>
      <c r="X94" s="629"/>
      <c r="Y94" s="2625"/>
      <c r="Z94" s="2625"/>
      <c r="AA94" s="2625"/>
      <c r="AB94" s="2625"/>
      <c r="AC94" s="2625"/>
      <c r="AD94" s="2625"/>
      <c r="AE94" s="2625"/>
      <c r="AF94" s="2625"/>
      <c r="AG94" s="2625"/>
      <c r="AH94" s="629"/>
      <c r="AI94" s="2625"/>
      <c r="AJ94" s="5122"/>
      <c r="AK94" s="5122"/>
      <c r="AL94" s="2625"/>
      <c r="AM94" s="2625"/>
      <c r="AN94" s="6012"/>
    </row>
    <row r="95" spans="1:40" s="5111" customFormat="1">
      <c r="A95" s="622">
        <v>7</v>
      </c>
      <c r="B95" s="5876" t="s">
        <v>1791</v>
      </c>
      <c r="C95" s="5128">
        <f t="shared" si="38"/>
        <v>0</v>
      </c>
      <c r="D95" s="330"/>
      <c r="E95" s="330"/>
      <c r="F95" s="330"/>
      <c r="G95" s="5126"/>
      <c r="H95" s="330"/>
      <c r="I95" s="5126"/>
      <c r="J95" s="330"/>
      <c r="K95" s="330"/>
      <c r="L95" s="330"/>
      <c r="M95" s="330"/>
      <c r="N95" s="330"/>
      <c r="O95" s="330"/>
      <c r="P95" s="5117"/>
      <c r="Q95" s="5117"/>
      <c r="R95" s="5117"/>
      <c r="S95" s="330"/>
      <c r="T95" s="329"/>
      <c r="U95" s="5117"/>
      <c r="V95" s="5117"/>
      <c r="W95" s="329"/>
      <c r="X95" s="329">
        <f>X96</f>
        <v>0</v>
      </c>
      <c r="Y95" s="6016"/>
      <c r="Z95" s="330"/>
      <c r="AA95" s="330"/>
      <c r="AB95" s="330"/>
      <c r="AC95" s="330"/>
      <c r="AD95" s="330"/>
      <c r="AE95" s="330"/>
      <c r="AF95" s="330"/>
      <c r="AG95" s="330"/>
      <c r="AH95" s="5117"/>
      <c r="AI95" s="330"/>
      <c r="AJ95" s="329"/>
      <c r="AK95" s="329"/>
      <c r="AL95" s="330"/>
      <c r="AM95" s="330"/>
      <c r="AN95" s="1659"/>
    </row>
    <row r="96" spans="1:40" s="624" customFormat="1" ht="36">
      <c r="A96" s="625" t="s">
        <v>99</v>
      </c>
      <c r="B96" s="5874" t="s">
        <v>3215</v>
      </c>
      <c r="C96" s="5960">
        <f>D96+P96+AD96+AE96+AH96+AL96+AF96+AG96+AK96+AM96</f>
        <v>0</v>
      </c>
      <c r="D96" s="2625"/>
      <c r="E96" s="2625"/>
      <c r="F96" s="2625"/>
      <c r="G96" s="2625"/>
      <c r="H96" s="2625"/>
      <c r="I96" s="2625"/>
      <c r="J96" s="2625"/>
      <c r="K96" s="2625"/>
      <c r="L96" s="2625"/>
      <c r="M96" s="2625"/>
      <c r="N96" s="2625"/>
      <c r="O96" s="2625"/>
      <c r="P96" s="629"/>
      <c r="Q96" s="629"/>
      <c r="R96" s="629"/>
      <c r="S96" s="2625"/>
      <c r="T96" s="5122"/>
      <c r="U96" s="629"/>
      <c r="V96" s="629"/>
      <c r="W96" s="5122"/>
      <c r="X96" s="5122">
        <f>23615-X12-X44-X59-X63-X113</f>
        <v>0</v>
      </c>
      <c r="Y96" s="6017"/>
      <c r="Z96" s="2625"/>
      <c r="AA96" s="2625"/>
      <c r="AB96" s="2625"/>
      <c r="AC96" s="2625"/>
      <c r="AD96" s="2625"/>
      <c r="AE96" s="2625"/>
      <c r="AF96" s="2625"/>
      <c r="AG96" s="2625"/>
      <c r="AH96" s="629"/>
      <c r="AI96" s="2625"/>
      <c r="AJ96" s="5122"/>
      <c r="AK96" s="5122"/>
      <c r="AL96" s="2625"/>
      <c r="AM96" s="2625"/>
      <c r="AN96" s="6012"/>
    </row>
    <row r="97" spans="1:51" s="380" customFormat="1">
      <c r="A97" s="611">
        <v>8</v>
      </c>
      <c r="B97" s="5879" t="s">
        <v>1792</v>
      </c>
      <c r="C97" s="5120">
        <f t="shared" si="38"/>
        <v>9000</v>
      </c>
      <c r="D97" s="330"/>
      <c r="E97" s="330"/>
      <c r="F97" s="330"/>
      <c r="G97" s="5126"/>
      <c r="H97" s="330"/>
      <c r="I97" s="5126"/>
      <c r="J97" s="330"/>
      <c r="K97" s="330"/>
      <c r="L97" s="330"/>
      <c r="M97" s="330"/>
      <c r="N97" s="330"/>
      <c r="O97" s="330"/>
      <c r="P97" s="5117">
        <f t="shared" si="40"/>
        <v>9000</v>
      </c>
      <c r="Q97" s="5117"/>
      <c r="R97" s="5117"/>
      <c r="S97" s="330"/>
      <c r="T97" s="329"/>
      <c r="U97" s="5117"/>
      <c r="V97" s="5117"/>
      <c r="W97" s="329"/>
      <c r="X97" s="297"/>
      <c r="Y97" s="329">
        <f>Y99+Y98</f>
        <v>9000</v>
      </c>
      <c r="Z97" s="6010">
        <f>SUM(Z99:Z99)</f>
        <v>0</v>
      </c>
      <c r="AA97" s="330"/>
      <c r="AB97" s="330"/>
      <c r="AC97" s="330"/>
      <c r="AD97" s="330"/>
      <c r="AE97" s="330"/>
      <c r="AF97" s="330"/>
      <c r="AG97" s="330"/>
      <c r="AH97" s="5117"/>
      <c r="AI97" s="330"/>
      <c r="AJ97" s="329"/>
      <c r="AK97" s="329"/>
      <c r="AL97" s="330"/>
      <c r="AM97" s="330"/>
      <c r="AN97" s="1659"/>
    </row>
    <row r="98" spans="1:51" s="621" customFormat="1" ht="54">
      <c r="A98" s="620" t="s">
        <v>99</v>
      </c>
      <c r="B98" s="5895" t="s">
        <v>1844</v>
      </c>
      <c r="C98" s="5960"/>
      <c r="D98" s="5126"/>
      <c r="E98" s="5126"/>
      <c r="F98" s="5126"/>
      <c r="G98" s="5126"/>
      <c r="H98" s="5126"/>
      <c r="I98" s="5126"/>
      <c r="J98" s="5126"/>
      <c r="K98" s="5126"/>
      <c r="L98" s="5126"/>
      <c r="M98" s="5126"/>
      <c r="N98" s="5126"/>
      <c r="O98" s="5126"/>
      <c r="P98" s="5116"/>
      <c r="Q98" s="5116"/>
      <c r="R98" s="5116"/>
      <c r="S98" s="5126"/>
      <c r="T98" s="5125"/>
      <c r="U98" s="5116"/>
      <c r="V98" s="5116"/>
      <c r="W98" s="5125"/>
      <c r="X98" s="6018"/>
      <c r="Y98" s="5122">
        <f>8000+1000</f>
        <v>9000</v>
      </c>
      <c r="Z98" s="6019"/>
      <c r="AA98" s="5126"/>
      <c r="AB98" s="5126"/>
      <c r="AC98" s="5126"/>
      <c r="AD98" s="5126"/>
      <c r="AE98" s="5126"/>
      <c r="AF98" s="5126"/>
      <c r="AG98" s="5126"/>
      <c r="AH98" s="5116"/>
      <c r="AI98" s="5126"/>
      <c r="AJ98" s="5125"/>
      <c r="AK98" s="5125"/>
      <c r="AL98" s="5126"/>
      <c r="AM98" s="5126"/>
      <c r="AN98" s="6013"/>
    </row>
    <row r="99" spans="1:51" s="617" customFormat="1" ht="36">
      <c r="A99" s="614" t="s">
        <v>101</v>
      </c>
      <c r="B99" s="5874" t="s">
        <v>3215</v>
      </c>
      <c r="C99" s="5960">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18"/>
      <c r="Y99" s="5122">
        <f>87389-Y12-Y44-Y59-Y63-Y113-Y98+1000</f>
        <v>0</v>
      </c>
      <c r="Z99" s="629"/>
      <c r="AA99" s="2625"/>
      <c r="AB99" s="2625"/>
      <c r="AC99" s="2625"/>
      <c r="AD99" s="2625"/>
      <c r="AE99" s="2625"/>
      <c r="AF99" s="2625"/>
      <c r="AG99" s="2625"/>
      <c r="AH99" s="629">
        <f t="shared" si="42"/>
        <v>0</v>
      </c>
      <c r="AI99" s="2625"/>
      <c r="AJ99" s="2625"/>
      <c r="AK99" s="2625"/>
      <c r="AL99" s="2625"/>
      <c r="AM99" s="2625"/>
      <c r="AN99" s="6012"/>
    </row>
    <row r="100" spans="1:51" s="380" customFormat="1">
      <c r="A100" s="611">
        <v>9</v>
      </c>
      <c r="B100" s="5875" t="s">
        <v>1793</v>
      </c>
      <c r="C100" s="5128">
        <f>D100+P100+AD100+AE100+AH100+AL100+AF100+AG100+AK100</f>
        <v>157472.49299999996</v>
      </c>
      <c r="D100" s="330">
        <f t="shared" si="21"/>
        <v>0</v>
      </c>
      <c r="E100" s="330"/>
      <c r="F100" s="330"/>
      <c r="G100" s="5126"/>
      <c r="H100" s="330"/>
      <c r="I100" s="5126"/>
      <c r="J100" s="330"/>
      <c r="K100" s="330"/>
      <c r="L100" s="330"/>
      <c r="M100" s="330"/>
      <c r="N100" s="330"/>
      <c r="O100" s="330"/>
      <c r="P100" s="5117">
        <f>SUM(Q100:AC100)</f>
        <v>157472.49299999996</v>
      </c>
      <c r="Q100" s="5117">
        <f>SUM(Q101:Q103)</f>
        <v>0</v>
      </c>
      <c r="R100" s="5117">
        <f t="shared" ref="R100:AB100" si="43">SUM(R101:R103)</f>
        <v>0</v>
      </c>
      <c r="S100" s="5117">
        <f t="shared" si="43"/>
        <v>0</v>
      </c>
      <c r="T100" s="5117">
        <f t="shared" si="43"/>
        <v>0</v>
      </c>
      <c r="U100" s="5117">
        <f t="shared" si="43"/>
        <v>0</v>
      </c>
      <c r="V100" s="5117">
        <f t="shared" si="43"/>
        <v>0</v>
      </c>
      <c r="W100" s="5117">
        <f t="shared" si="43"/>
        <v>0</v>
      </c>
      <c r="X100" s="5117"/>
      <c r="Y100" s="5117"/>
      <c r="Z100" s="5117">
        <f>SUM(Z101:Z105)+Z113</f>
        <v>157472.49299999996</v>
      </c>
      <c r="AA100" s="5117">
        <f t="shared" si="43"/>
        <v>0</v>
      </c>
      <c r="AB100" s="5117">
        <f t="shared" si="43"/>
        <v>0</v>
      </c>
      <c r="AC100" s="5117"/>
      <c r="AD100" s="330"/>
      <c r="AE100" s="330"/>
      <c r="AF100" s="330"/>
      <c r="AG100" s="330"/>
      <c r="AH100" s="5117">
        <f>SUM(AI100:AJ100)</f>
        <v>0</v>
      </c>
      <c r="AI100" s="330"/>
      <c r="AJ100" s="329">
        <f>+AJ101+AJ102+AJ103+AJ104</f>
        <v>0</v>
      </c>
      <c r="AK100" s="330"/>
      <c r="AL100" s="330"/>
      <c r="AM100" s="330"/>
      <c r="AN100" s="1659"/>
    </row>
    <row r="101" spans="1:51" s="621" customFormat="1" ht="36">
      <c r="A101" s="614" t="s">
        <v>99</v>
      </c>
      <c r="B101" s="5880" t="s">
        <v>1842</v>
      </c>
      <c r="C101" s="5120">
        <f>D101+P101+AD101+AE101+AH101+AL101+AF101+AG101+AK101+AM101</f>
        <v>53899.5</v>
      </c>
      <c r="D101" s="5126"/>
      <c r="E101" s="5126"/>
      <c r="F101" s="5126"/>
      <c r="G101" s="5126"/>
      <c r="H101" s="5126"/>
      <c r="I101" s="5126"/>
      <c r="J101" s="5126"/>
      <c r="K101" s="5126"/>
      <c r="L101" s="5126"/>
      <c r="M101" s="5126"/>
      <c r="N101" s="5126"/>
      <c r="O101" s="5126"/>
      <c r="P101" s="629">
        <f>SUM(Q101:AC101)</f>
        <v>53899.5</v>
      </c>
      <c r="Q101" s="5116"/>
      <c r="R101" s="5116"/>
      <c r="S101" s="5126"/>
      <c r="T101" s="5126"/>
      <c r="U101" s="5126"/>
      <c r="V101" s="5116"/>
      <c r="W101" s="5126"/>
      <c r="X101" s="5126"/>
      <c r="Y101" s="5126"/>
      <c r="Z101" s="6020">
        <f>+'Phụ lục số 6'!E25*1.5+42</f>
        <v>53899.5</v>
      </c>
      <c r="AA101" s="5116"/>
      <c r="AB101" s="5126"/>
      <c r="AC101" s="5126"/>
      <c r="AD101" s="5126"/>
      <c r="AE101" s="5126"/>
      <c r="AF101" s="5126"/>
      <c r="AG101" s="5126"/>
      <c r="AH101" s="5116"/>
      <c r="AI101" s="5126"/>
      <c r="AJ101" s="5126"/>
      <c r="AK101" s="5126"/>
      <c r="AL101" s="5126"/>
      <c r="AM101" s="5126"/>
      <c r="AN101" s="6013"/>
    </row>
    <row r="102" spans="1:51" s="621" customFormat="1" ht="54">
      <c r="A102" s="614" t="s">
        <v>101</v>
      </c>
      <c r="B102" s="5881" t="s">
        <v>1843</v>
      </c>
      <c r="C102" s="5120">
        <f t="shared" ref="C102:C112" si="44">D102+P102+AD102+AE102+AH102+AL102+AF102+AG102+AK102+AM102</f>
        <v>7000</v>
      </c>
      <c r="D102" s="5126"/>
      <c r="E102" s="5126"/>
      <c r="F102" s="5126"/>
      <c r="G102" s="5126"/>
      <c r="H102" s="5126"/>
      <c r="I102" s="5126"/>
      <c r="J102" s="5126"/>
      <c r="K102" s="5126"/>
      <c r="L102" s="5126"/>
      <c r="M102" s="5126"/>
      <c r="N102" s="5126"/>
      <c r="O102" s="5126"/>
      <c r="P102" s="629">
        <f>SUM(Q102:AC102)</f>
        <v>7000</v>
      </c>
      <c r="Q102" s="5116"/>
      <c r="R102" s="5116"/>
      <c r="S102" s="5126"/>
      <c r="T102" s="5126"/>
      <c r="U102" s="5126"/>
      <c r="V102" s="5116"/>
      <c r="W102" s="5126"/>
      <c r="X102" s="5126"/>
      <c r="Y102" s="5126"/>
      <c r="Z102" s="6021">
        <f>6400+600</f>
        <v>7000</v>
      </c>
      <c r="AA102" s="5116"/>
      <c r="AB102" s="5126"/>
      <c r="AC102" s="5126"/>
      <c r="AD102" s="5126"/>
      <c r="AE102" s="5126"/>
      <c r="AF102" s="5126"/>
      <c r="AG102" s="5126"/>
      <c r="AH102" s="5116"/>
      <c r="AI102" s="5126"/>
      <c r="AJ102" s="5126"/>
      <c r="AK102" s="5126"/>
      <c r="AL102" s="5126"/>
      <c r="AM102" s="5126"/>
      <c r="AN102" s="6013"/>
    </row>
    <row r="103" spans="1:51" s="621" customFormat="1">
      <c r="A103" s="614" t="s">
        <v>147</v>
      </c>
      <c r="B103" s="5880" t="s">
        <v>3216</v>
      </c>
      <c r="C103" s="5120">
        <f t="shared" si="44"/>
        <v>0</v>
      </c>
      <c r="D103" s="5126"/>
      <c r="E103" s="5126"/>
      <c r="F103" s="5126"/>
      <c r="G103" s="5126"/>
      <c r="H103" s="5126"/>
      <c r="I103" s="5126"/>
      <c r="J103" s="5126"/>
      <c r="K103" s="5126"/>
      <c r="L103" s="5126"/>
      <c r="M103" s="5126"/>
      <c r="N103" s="5126"/>
      <c r="O103" s="5126"/>
      <c r="P103" s="629">
        <f t="shared" ref="P103:P105" si="45">SUM(Q103:AC103)</f>
        <v>0</v>
      </c>
      <c r="Q103" s="5116"/>
      <c r="R103" s="5116"/>
      <c r="S103" s="5126"/>
      <c r="T103" s="5126"/>
      <c r="U103" s="5126"/>
      <c r="V103" s="5116"/>
      <c r="W103" s="5126"/>
      <c r="X103" s="5126"/>
      <c r="Y103" s="5126"/>
      <c r="Z103" s="6022">
        <f>70000-70000</f>
        <v>0</v>
      </c>
      <c r="AA103" s="5116"/>
      <c r="AB103" s="5126"/>
      <c r="AC103" s="5126"/>
      <c r="AD103" s="5126"/>
      <c r="AE103" s="5126"/>
      <c r="AF103" s="5126"/>
      <c r="AG103" s="5126"/>
      <c r="AH103" s="5116"/>
      <c r="AI103" s="5126"/>
      <c r="AJ103" s="5126"/>
      <c r="AK103" s="5126"/>
      <c r="AL103" s="5126"/>
      <c r="AM103" s="5126"/>
      <c r="AN103" s="6013"/>
    </row>
    <row r="104" spans="1:51" s="621" customFormat="1" ht="90">
      <c r="A104" s="620" t="s">
        <v>148</v>
      </c>
      <c r="B104" s="5882" t="s">
        <v>3224</v>
      </c>
      <c r="C104" s="5120">
        <f t="shared" si="44"/>
        <v>0</v>
      </c>
      <c r="D104" s="5126">
        <f t="shared" si="21"/>
        <v>0</v>
      </c>
      <c r="E104" s="5126"/>
      <c r="F104" s="5126"/>
      <c r="G104" s="5126"/>
      <c r="H104" s="5126"/>
      <c r="I104" s="5126"/>
      <c r="J104" s="5126"/>
      <c r="K104" s="5126"/>
      <c r="L104" s="5126"/>
      <c r="M104" s="5126"/>
      <c r="N104" s="5126"/>
      <c r="O104" s="5126"/>
      <c r="P104" s="5116">
        <f t="shared" si="45"/>
        <v>0</v>
      </c>
      <c r="Q104" s="5116"/>
      <c r="R104" s="5126"/>
      <c r="S104" s="5126"/>
      <c r="T104" s="5126"/>
      <c r="U104" s="5126"/>
      <c r="V104" s="5116"/>
      <c r="W104" s="5126"/>
      <c r="X104" s="5126"/>
      <c r="Y104" s="5126"/>
      <c r="Z104" s="5125">
        <f>12000-12000</f>
        <v>0</v>
      </c>
      <c r="AA104" s="5116"/>
      <c r="AB104" s="5126"/>
      <c r="AC104" s="5126"/>
      <c r="AD104" s="5126"/>
      <c r="AE104" s="5126"/>
      <c r="AF104" s="5126"/>
      <c r="AG104" s="5126"/>
      <c r="AH104" s="5116">
        <f t="shared" si="42"/>
        <v>0</v>
      </c>
      <c r="AI104" s="5126"/>
      <c r="AJ104" s="5125"/>
      <c r="AK104" s="5126"/>
      <c r="AL104" s="5126"/>
      <c r="AM104" s="5126"/>
      <c r="AN104" s="6013"/>
    </row>
    <row r="105" spans="1:51" s="617" customFormat="1" ht="36">
      <c r="A105" s="614" t="s">
        <v>149</v>
      </c>
      <c r="B105" s="5874" t="s">
        <v>3215</v>
      </c>
      <c r="C105" s="5120">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08">
        <f>526931.593-Z12-Z44-Z59-Z63-Z113-Z101-Z102-Z103-Z104-70000-11412.41-62511.59-12000+10033+4373.9+11726-(1000)</f>
        <v>80946.835146215482</v>
      </c>
      <c r="AA105" s="629"/>
      <c r="AB105" s="2625"/>
      <c r="AC105" s="2625"/>
      <c r="AD105" s="2625"/>
      <c r="AE105" s="2625"/>
      <c r="AF105" s="2625"/>
      <c r="AG105" s="2625"/>
      <c r="AH105" s="629"/>
      <c r="AI105" s="2625"/>
      <c r="AJ105" s="5122"/>
      <c r="AK105" s="2625"/>
      <c r="AL105" s="2625"/>
      <c r="AM105" s="2625"/>
      <c r="AN105" s="6012"/>
    </row>
    <row r="106" spans="1:51" s="624" customFormat="1" ht="34.799999999999997">
      <c r="A106" s="622">
        <v>10</v>
      </c>
      <c r="B106" s="5886" t="s">
        <v>1794</v>
      </c>
      <c r="C106" s="5120">
        <f t="shared" ref="C106:C111" si="46">D106+P106+AD106+AE106+AH106+AL106+AF106+AG106+AK106</f>
        <v>13652.513398000039</v>
      </c>
      <c r="D106" s="2625"/>
      <c r="E106" s="2625"/>
      <c r="F106" s="2625"/>
      <c r="G106" s="2625"/>
      <c r="H106" s="2625"/>
      <c r="I106" s="2625"/>
      <c r="J106" s="2625"/>
      <c r="K106" s="2625"/>
      <c r="L106" s="2625"/>
      <c r="M106" s="2625"/>
      <c r="N106" s="2625"/>
      <c r="O106" s="2625"/>
      <c r="P106" s="5996">
        <f t="shared" si="40"/>
        <v>13652.513398000039</v>
      </c>
      <c r="Q106" s="5117"/>
      <c r="R106" s="2625"/>
      <c r="S106" s="2625"/>
      <c r="T106" s="2625"/>
      <c r="U106" s="2625"/>
      <c r="V106" s="629"/>
      <c r="W106" s="2625"/>
      <c r="X106" s="2625"/>
      <c r="Y106" s="2625"/>
      <c r="Z106" s="2625"/>
      <c r="AA106" s="5117">
        <f>AA107+AA113</f>
        <v>13652.513398000039</v>
      </c>
      <c r="AB106" s="6023"/>
      <c r="AC106" s="2625"/>
      <c r="AD106" s="2625"/>
      <c r="AE106" s="2625"/>
      <c r="AF106" s="2625"/>
      <c r="AG106" s="2625"/>
      <c r="AH106" s="629"/>
      <c r="AI106" s="2625"/>
      <c r="AJ106" s="2625"/>
      <c r="AK106" s="2625"/>
      <c r="AL106" s="2625"/>
      <c r="AM106" s="2625"/>
      <c r="AN106" s="6012"/>
    </row>
    <row r="107" spans="1:51" s="624" customFormat="1" ht="36">
      <c r="A107" s="625"/>
      <c r="B107" s="5874" t="s">
        <v>3215</v>
      </c>
      <c r="C107" s="5960">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24">
        <f>708771.5-AA12-AA44-AA59-AA63-AA113</f>
        <v>11443.445180987688</v>
      </c>
      <c r="AB107" s="5122"/>
      <c r="AC107" s="2625"/>
      <c r="AD107" s="2625"/>
      <c r="AE107" s="2625"/>
      <c r="AF107" s="2625"/>
      <c r="AG107" s="2625"/>
      <c r="AH107" s="629"/>
      <c r="AI107" s="2625"/>
      <c r="AJ107" s="2625"/>
      <c r="AK107" s="2625"/>
      <c r="AL107" s="2625"/>
      <c r="AM107" s="2625"/>
      <c r="AN107" s="6012"/>
      <c r="AQ107" s="624">
        <f>+AA107-4725435/1000</f>
        <v>6718.0101809876878</v>
      </c>
    </row>
    <row r="108" spans="1:51" s="380" customFormat="1">
      <c r="A108" s="611">
        <v>11</v>
      </c>
      <c r="B108" s="5878" t="s">
        <v>1795</v>
      </c>
      <c r="C108" s="5128">
        <f t="shared" si="46"/>
        <v>12060.100000000006</v>
      </c>
      <c r="D108" s="330">
        <f t="shared" si="21"/>
        <v>0</v>
      </c>
      <c r="E108" s="330"/>
      <c r="F108" s="330"/>
      <c r="G108" s="5126"/>
      <c r="H108" s="330"/>
      <c r="I108" s="5126"/>
      <c r="J108" s="330"/>
      <c r="K108" s="330"/>
      <c r="L108" s="330"/>
      <c r="M108" s="330"/>
      <c r="N108" s="330"/>
      <c r="O108" s="330"/>
      <c r="P108" s="5117">
        <f t="shared" si="40"/>
        <v>0.10000000000582077</v>
      </c>
      <c r="Q108" s="5117"/>
      <c r="R108" s="330"/>
      <c r="S108" s="330"/>
      <c r="T108" s="330"/>
      <c r="U108" s="330"/>
      <c r="V108" s="5117"/>
      <c r="W108" s="330"/>
      <c r="X108" s="330"/>
      <c r="Y108" s="330"/>
      <c r="Z108" s="330"/>
      <c r="AA108" s="330"/>
      <c r="AB108" s="6025">
        <f>SUM(AB109:AB110)</f>
        <v>0.10000000000582077</v>
      </c>
      <c r="AC108" s="5117">
        <f>AC110</f>
        <v>0</v>
      </c>
      <c r="AD108" s="330"/>
      <c r="AE108" s="330"/>
      <c r="AF108" s="330"/>
      <c r="AG108" s="330"/>
      <c r="AH108" s="6025">
        <f>SUM(AH109:AH110)</f>
        <v>12060</v>
      </c>
      <c r="AI108" s="6025">
        <f>SUM(AI109:AI110)</f>
        <v>0</v>
      </c>
      <c r="AJ108" s="6025">
        <f>SUM(AJ109:AJ110)</f>
        <v>12060</v>
      </c>
      <c r="AK108" s="330"/>
      <c r="AL108" s="330"/>
      <c r="AM108" s="330"/>
      <c r="AN108" s="1659"/>
    </row>
    <row r="109" spans="1:51" s="621" customFormat="1" ht="171" customHeight="1">
      <c r="A109" s="620"/>
      <c r="B109" s="5874" t="s">
        <v>3261</v>
      </c>
      <c r="C109" s="5960">
        <f t="shared" si="44"/>
        <v>12060</v>
      </c>
      <c r="D109" s="5126"/>
      <c r="E109" s="5126"/>
      <c r="F109" s="5126"/>
      <c r="G109" s="5126"/>
      <c r="H109" s="5126"/>
      <c r="I109" s="5126"/>
      <c r="J109" s="5126"/>
      <c r="K109" s="5126"/>
      <c r="L109" s="5126"/>
      <c r="M109" s="5126"/>
      <c r="N109" s="5126"/>
      <c r="O109" s="5126"/>
      <c r="P109" s="629">
        <f t="shared" si="40"/>
        <v>0</v>
      </c>
      <c r="Q109" s="5116"/>
      <c r="R109" s="5126"/>
      <c r="S109" s="5126"/>
      <c r="T109" s="5126"/>
      <c r="U109" s="5126"/>
      <c r="V109" s="5116"/>
      <c r="W109" s="5126"/>
      <c r="X109" s="5126"/>
      <c r="Y109" s="5126"/>
      <c r="Z109" s="5126"/>
      <c r="AA109" s="5126"/>
      <c r="AB109" s="5122"/>
      <c r="AC109" s="5116"/>
      <c r="AD109" s="5126"/>
      <c r="AE109" s="5126"/>
      <c r="AF109" s="5126"/>
      <c r="AG109" s="5126"/>
      <c r="AH109" s="629">
        <f>SUM(AI109:AJ109)</f>
        <v>12060</v>
      </c>
      <c r="AI109" s="2625"/>
      <c r="AJ109" s="5122">
        <f>+'Phụ lục số 6'!E32-AJ64-'Phụ lục số 8'!C21</f>
        <v>12060</v>
      </c>
      <c r="AK109" s="5126"/>
      <c r="AL109" s="5126"/>
      <c r="AM109" s="5126"/>
      <c r="AN109" s="6013"/>
      <c r="AQ109" s="5202">
        <f>284586-AJ90-677</f>
        <v>283909</v>
      </c>
      <c r="AR109" s="5202">
        <f>195837-AQ109</f>
        <v>-88072</v>
      </c>
      <c r="AT109" s="5202">
        <f>+AU109-AJ109</f>
        <v>183777</v>
      </c>
      <c r="AU109" s="621">
        <f>190053+12060-6276</f>
        <v>195837</v>
      </c>
      <c r="AW109" s="5203">
        <v>677</v>
      </c>
      <c r="AX109" s="621">
        <f>-6284-19960</f>
        <v>-26244</v>
      </c>
      <c r="AY109" s="621">
        <f>677-19960-6284</f>
        <v>-25567</v>
      </c>
    </row>
    <row r="110" spans="1:51" s="621" customFormat="1" ht="36">
      <c r="A110" s="620"/>
      <c r="B110" s="5874" t="s">
        <v>3215</v>
      </c>
      <c r="C110" s="5120">
        <f t="shared" si="44"/>
        <v>0.10000000000582077</v>
      </c>
      <c r="D110" s="5126">
        <f t="shared" si="21"/>
        <v>0</v>
      </c>
      <c r="E110" s="5126"/>
      <c r="F110" s="5126"/>
      <c r="G110" s="5126"/>
      <c r="H110" s="5126"/>
      <c r="I110" s="5126"/>
      <c r="J110" s="5126"/>
      <c r="K110" s="5126"/>
      <c r="L110" s="5126"/>
      <c r="M110" s="5126"/>
      <c r="N110" s="5126"/>
      <c r="O110" s="5126"/>
      <c r="P110" s="629">
        <f t="shared" si="40"/>
        <v>0.10000000000582077</v>
      </c>
      <c r="Q110" s="5116"/>
      <c r="R110" s="5126"/>
      <c r="S110" s="5126"/>
      <c r="T110" s="5126"/>
      <c r="U110" s="5126"/>
      <c r="V110" s="5116"/>
      <c r="W110" s="5126"/>
      <c r="X110" s="5126"/>
      <c r="Y110" s="5126"/>
      <c r="Z110" s="5126"/>
      <c r="AA110" s="5126"/>
      <c r="AB110" s="6011">
        <f>68073.1-AB12-AB44-AB59-AB63-AB109-AB113</f>
        <v>0.10000000000582077</v>
      </c>
      <c r="AC110" s="5116"/>
      <c r="AD110" s="5126"/>
      <c r="AE110" s="5126"/>
      <c r="AF110" s="5126"/>
      <c r="AG110" s="5126"/>
      <c r="AH110" s="5116">
        <f t="shared" si="42"/>
        <v>0</v>
      </c>
      <c r="AI110" s="5126"/>
      <c r="AJ110" s="329"/>
      <c r="AK110" s="5126"/>
      <c r="AL110" s="5126"/>
      <c r="AM110" s="5126"/>
      <c r="AN110" s="6013"/>
      <c r="AR110" s="5202">
        <f>+AJ109+AJ90</f>
        <v>12060</v>
      </c>
      <c r="AW110" s="5203">
        <v>114316</v>
      </c>
      <c r="AX110" s="621">
        <f>-11346-17969</f>
        <v>-29315</v>
      </c>
      <c r="AY110" s="5203">
        <f>59805+6154+39490+37503+634+45-11346-17969</f>
        <v>114316</v>
      </c>
    </row>
    <row r="111" spans="1:51" s="380" customFormat="1">
      <c r="A111" s="611">
        <v>12</v>
      </c>
      <c r="B111" s="5878" t="s">
        <v>721</v>
      </c>
      <c r="C111" s="5128">
        <f t="shared" si="46"/>
        <v>16054.8</v>
      </c>
      <c r="D111" s="330">
        <f t="shared" si="21"/>
        <v>0</v>
      </c>
      <c r="E111" s="330"/>
      <c r="F111" s="330"/>
      <c r="G111" s="5126"/>
      <c r="H111" s="330"/>
      <c r="I111" s="5126"/>
      <c r="J111" s="330"/>
      <c r="K111" s="330"/>
      <c r="L111" s="330"/>
      <c r="M111" s="330"/>
      <c r="N111" s="330"/>
      <c r="O111" s="330"/>
      <c r="P111" s="5117">
        <f t="shared" ref="P111" si="47">SUM(R111:AC111)</f>
        <v>16054.8</v>
      </c>
      <c r="Q111" s="5117"/>
      <c r="R111" s="330"/>
      <c r="S111" s="330"/>
      <c r="T111" s="330"/>
      <c r="U111" s="330"/>
      <c r="V111" s="5117"/>
      <c r="W111" s="330"/>
      <c r="X111" s="330"/>
      <c r="Y111" s="330"/>
      <c r="Z111" s="330"/>
      <c r="AA111" s="330"/>
      <c r="AB111" s="330"/>
      <c r="AC111" s="6026">
        <f>AC112+AC113</f>
        <v>16054.8</v>
      </c>
      <c r="AD111" s="330"/>
      <c r="AE111" s="330"/>
      <c r="AF111" s="330"/>
      <c r="AG111" s="330"/>
      <c r="AH111" s="5117">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74" t="s">
        <v>3215</v>
      </c>
      <c r="C112" s="5120">
        <f t="shared" si="44"/>
        <v>13427.738688122938</v>
      </c>
      <c r="D112" s="297"/>
      <c r="E112" s="297"/>
      <c r="F112" s="297"/>
      <c r="G112" s="2625"/>
      <c r="H112" s="297"/>
      <c r="I112" s="2625"/>
      <c r="J112" s="297"/>
      <c r="K112" s="297"/>
      <c r="L112" s="297"/>
      <c r="M112" s="297"/>
      <c r="N112" s="297"/>
      <c r="O112" s="297"/>
      <c r="P112" s="629">
        <f>SUM(Q112:AC112)</f>
        <v>13427.738688122938</v>
      </c>
      <c r="Q112" s="5996"/>
      <c r="R112" s="297"/>
      <c r="S112" s="297"/>
      <c r="T112" s="297"/>
      <c r="U112" s="297"/>
      <c r="V112" s="5996"/>
      <c r="W112" s="297"/>
      <c r="X112" s="297"/>
      <c r="Y112" s="297"/>
      <c r="Z112" s="297"/>
      <c r="AA112" s="297"/>
      <c r="AB112" s="297"/>
      <c r="AC112" s="6002">
        <f>22000-AC12-AC44-AC59-AC63-AC113</f>
        <v>13427.738688122938</v>
      </c>
      <c r="AD112" s="297"/>
      <c r="AE112" s="297"/>
      <c r="AF112" s="297"/>
      <c r="AG112" s="297"/>
      <c r="AH112" s="5996"/>
      <c r="AI112" s="297"/>
      <c r="AJ112" s="297"/>
      <c r="AK112" s="297"/>
      <c r="AL112" s="297"/>
      <c r="AM112" s="297"/>
      <c r="AN112" s="5997"/>
      <c r="AR112" s="597">
        <f>+AR111+AR110</f>
        <v>12737</v>
      </c>
      <c r="AW112" s="5204">
        <f>+AW111+AW110+AW109</f>
        <v>310830</v>
      </c>
      <c r="AY112" s="5205">
        <f>+AY111+AY110+AY109</f>
        <v>284586</v>
      </c>
    </row>
    <row r="113" spans="1:51" s="380" customFormat="1">
      <c r="A113" s="611">
        <v>13</v>
      </c>
      <c r="B113" s="4782" t="s">
        <v>722</v>
      </c>
      <c r="C113" s="5128">
        <f>D113+P113+AD113+AE113+AH113+AL113+AF113+AG113+AK113+AM113</f>
        <v>22901.75</v>
      </c>
      <c r="D113" s="330">
        <f>SUM(E113:J113)</f>
        <v>0</v>
      </c>
      <c r="E113" s="330"/>
      <c r="F113" s="330"/>
      <c r="G113" s="5126"/>
      <c r="H113" s="330"/>
      <c r="I113" s="5126"/>
      <c r="J113" s="330"/>
      <c r="K113" s="330"/>
      <c r="L113" s="330"/>
      <c r="M113" s="330"/>
      <c r="N113" s="330"/>
      <c r="O113" s="330"/>
      <c r="P113" s="5117">
        <f>SUM(Q113:AC113)</f>
        <v>22901.75</v>
      </c>
      <c r="Q113" s="5117">
        <v>2439.462617326099</v>
      </c>
      <c r="R113" s="6010"/>
      <c r="S113" s="6027">
        <f>+(2094+4188)-(2094+4188)</f>
        <v>0</v>
      </c>
      <c r="T113" s="6010"/>
      <c r="U113" s="6010"/>
      <c r="V113" s="6010"/>
      <c r="W113" s="6010"/>
      <c r="X113" s="6010"/>
      <c r="Y113" s="6010"/>
      <c r="Z113" s="6010">
        <v>15626.157853784489</v>
      </c>
      <c r="AA113" s="6010">
        <v>2209.0682170123514</v>
      </c>
      <c r="AB113" s="6010"/>
      <c r="AC113" s="6010">
        <v>2627.0613118770611</v>
      </c>
      <c r="AD113" s="330"/>
      <c r="AE113" s="330"/>
      <c r="AF113" s="330"/>
      <c r="AG113" s="330"/>
      <c r="AH113" s="5117">
        <f>SUM(AI113:AJ113)</f>
        <v>0</v>
      </c>
      <c r="AI113" s="330"/>
      <c r="AJ113" s="330"/>
      <c r="AK113" s="330"/>
      <c r="AL113" s="330"/>
      <c r="AM113" s="330"/>
      <c r="AN113" s="1659"/>
      <c r="AQ113" s="380">
        <f>+AC111*20%</f>
        <v>3210.96</v>
      </c>
      <c r="AY113" s="5206">
        <f>+AY112-AY110</f>
        <v>170270</v>
      </c>
    </row>
    <row r="114" spans="1:51" s="380" customFormat="1">
      <c r="A114" s="611" t="s">
        <v>37</v>
      </c>
      <c r="B114" s="5875" t="s">
        <v>757</v>
      </c>
      <c r="C114" s="5128">
        <f>D114+P114+AD114+AE114+AH114+AL114+AF114+AG114+AK114</f>
        <v>376890</v>
      </c>
      <c r="D114" s="5117">
        <f>SUM(E114:K114)</f>
        <v>376890</v>
      </c>
      <c r="E114" s="5117">
        <f>'Phụ lục số 2'!P11</f>
        <v>376890</v>
      </c>
      <c r="F114" s="5117"/>
      <c r="G114" s="5116"/>
      <c r="H114" s="5117"/>
      <c r="I114" s="5116"/>
      <c r="J114" s="5117"/>
      <c r="K114" s="5117"/>
      <c r="L114" s="5117"/>
      <c r="M114" s="5117"/>
      <c r="N114" s="5117"/>
      <c r="O114" s="5117"/>
      <c r="P114" s="330"/>
      <c r="Q114" s="330"/>
      <c r="R114" s="330"/>
      <c r="S114" s="330"/>
      <c r="T114" s="330"/>
      <c r="U114" s="330"/>
      <c r="V114" s="5117"/>
      <c r="W114" s="330"/>
      <c r="X114" s="330"/>
      <c r="Y114" s="330"/>
      <c r="Z114" s="330"/>
      <c r="AA114" s="330"/>
      <c r="AB114" s="330"/>
      <c r="AC114" s="330"/>
      <c r="AD114" s="5117"/>
      <c r="AE114" s="5117"/>
      <c r="AF114" s="5117"/>
      <c r="AG114" s="5117"/>
      <c r="AH114" s="5117">
        <f t="shared" si="42"/>
        <v>0</v>
      </c>
      <c r="AI114" s="330"/>
      <c r="AJ114" s="330"/>
      <c r="AK114" s="330"/>
      <c r="AL114" s="330"/>
      <c r="AM114" s="330"/>
      <c r="AN114" s="1659"/>
      <c r="AY114" s="5206">
        <f>+AY113-AW109</f>
        <v>169593</v>
      </c>
    </row>
    <row r="115" spans="1:51" s="380" customFormat="1" ht="52.2">
      <c r="A115" s="611" t="s">
        <v>44</v>
      </c>
      <c r="B115" s="5878" t="s">
        <v>758</v>
      </c>
      <c r="C115" s="5128">
        <f t="shared" ref="C115:C124" si="48">D115+P115+AD115+AE115+AH115+AL115+AF115+AG115+AK115</f>
        <v>506500</v>
      </c>
      <c r="D115" s="5117">
        <f>SUM(E115:F115)</f>
        <v>506500</v>
      </c>
      <c r="E115" s="5117"/>
      <c r="F115" s="5117">
        <f>'Phụ lục số 2'!P12</f>
        <v>506500</v>
      </c>
      <c r="G115" s="5116">
        <f>+'Phụ lục số 2'!P13</f>
        <v>160000</v>
      </c>
      <c r="H115" s="5117"/>
      <c r="I115" s="5116"/>
      <c r="J115" s="5117"/>
      <c r="K115" s="5117"/>
      <c r="L115" s="5117"/>
      <c r="M115" s="5117"/>
      <c r="N115" s="5117"/>
      <c r="O115" s="5117"/>
      <c r="P115" s="330"/>
      <c r="Q115" s="330"/>
      <c r="R115" s="330"/>
      <c r="S115" s="330"/>
      <c r="T115" s="330"/>
      <c r="U115" s="330"/>
      <c r="V115" s="5117"/>
      <c r="W115" s="330"/>
      <c r="X115" s="330"/>
      <c r="Y115" s="330"/>
      <c r="Z115" s="330"/>
      <c r="AA115" s="330"/>
      <c r="AB115" s="330"/>
      <c r="AC115" s="330"/>
      <c r="AD115" s="5117"/>
      <c r="AE115" s="5117"/>
      <c r="AF115" s="5117"/>
      <c r="AG115" s="5117"/>
      <c r="AH115" s="5117">
        <f t="shared" si="42"/>
        <v>0</v>
      </c>
      <c r="AI115" s="330"/>
      <c r="AJ115" s="330"/>
      <c r="AK115" s="330"/>
      <c r="AL115" s="330"/>
      <c r="AM115" s="330"/>
      <c r="AN115" s="1659"/>
      <c r="AQ115" s="2710">
        <f>+AA10-515458</f>
        <v>193313.5</v>
      </c>
    </row>
    <row r="116" spans="1:51" s="380" customFormat="1">
      <c r="A116" s="611" t="s">
        <v>46</v>
      </c>
      <c r="B116" s="5878" t="s">
        <v>728</v>
      </c>
      <c r="C116" s="5128">
        <f t="shared" si="48"/>
        <v>2100000</v>
      </c>
      <c r="D116" s="5117">
        <f>SUM(E116:H116)</f>
        <v>2100000</v>
      </c>
      <c r="E116" s="5117"/>
      <c r="F116" s="5117"/>
      <c r="G116" s="5116"/>
      <c r="H116" s="5117">
        <f>'Phụ lục số 2'!P14</f>
        <v>2100000</v>
      </c>
      <c r="I116" s="5116">
        <f>+'Phụ lục số 2'!P15</f>
        <v>100000</v>
      </c>
      <c r="J116" s="5117"/>
      <c r="K116" s="5117"/>
      <c r="L116" s="5117"/>
      <c r="M116" s="5117"/>
      <c r="N116" s="5117"/>
      <c r="O116" s="5117"/>
      <c r="P116" s="330"/>
      <c r="Q116" s="330"/>
      <c r="R116" s="330"/>
      <c r="S116" s="330"/>
      <c r="T116" s="330"/>
      <c r="U116" s="330"/>
      <c r="V116" s="5117"/>
      <c r="W116" s="330"/>
      <c r="X116" s="330"/>
      <c r="Y116" s="330"/>
      <c r="Z116" s="330"/>
      <c r="AA116" s="330"/>
      <c r="AB116" s="330"/>
      <c r="AC116" s="330"/>
      <c r="AD116" s="5117"/>
      <c r="AE116" s="5117"/>
      <c r="AF116" s="5117"/>
      <c r="AG116" s="5117"/>
      <c r="AH116" s="5117"/>
      <c r="AI116" s="330"/>
      <c r="AJ116" s="330"/>
      <c r="AK116" s="330"/>
      <c r="AL116" s="330"/>
      <c r="AM116" s="330"/>
      <c r="AN116" s="1659"/>
      <c r="AQ116" s="380">
        <f>+AQ115*10%</f>
        <v>19331.350000000002</v>
      </c>
    </row>
    <row r="117" spans="1:51" s="380" customFormat="1" ht="52.2">
      <c r="A117" s="611" t="s">
        <v>724</v>
      </c>
      <c r="B117" s="5878" t="s">
        <v>759</v>
      </c>
      <c r="C117" s="5128">
        <f t="shared" si="48"/>
        <v>0</v>
      </c>
      <c r="D117" s="5117">
        <f>SUM(E117:J117)</f>
        <v>0</v>
      </c>
      <c r="E117" s="5117"/>
      <c r="F117" s="5117"/>
      <c r="G117" s="5116"/>
      <c r="H117" s="5117"/>
      <c r="I117" s="5116"/>
      <c r="J117" s="5117">
        <f>'Phụ lục số 2'!P16</f>
        <v>0</v>
      </c>
      <c r="K117" s="5117"/>
      <c r="L117" s="5117"/>
      <c r="M117" s="5117"/>
      <c r="N117" s="5117"/>
      <c r="O117" s="5117"/>
      <c r="P117" s="330"/>
      <c r="Q117" s="330"/>
      <c r="R117" s="330"/>
      <c r="S117" s="330"/>
      <c r="T117" s="330"/>
      <c r="U117" s="330"/>
      <c r="V117" s="5117"/>
      <c r="W117" s="330"/>
      <c r="X117" s="330"/>
      <c r="Y117" s="330"/>
      <c r="Z117" s="330"/>
      <c r="AA117" s="330"/>
      <c r="AB117" s="330"/>
      <c r="AC117" s="330"/>
      <c r="AD117" s="5117"/>
      <c r="AE117" s="5117"/>
      <c r="AF117" s="5117"/>
      <c r="AG117" s="5117"/>
      <c r="AH117" s="5117">
        <f t="shared" si="42"/>
        <v>0</v>
      </c>
      <c r="AI117" s="330"/>
      <c r="AJ117" s="330"/>
      <c r="AK117" s="330"/>
      <c r="AL117" s="330"/>
      <c r="AM117" s="330"/>
      <c r="AN117" s="1659"/>
    </row>
    <row r="118" spans="1:51" s="380" customFormat="1">
      <c r="A118" s="611" t="s">
        <v>725</v>
      </c>
      <c r="B118" s="5878" t="s">
        <v>760</v>
      </c>
      <c r="C118" s="5128">
        <f t="shared" si="48"/>
        <v>0</v>
      </c>
      <c r="D118" s="5117">
        <f t="shared" ref="D118:D125" si="49">SUM(E118:K118)</f>
        <v>0</v>
      </c>
      <c r="E118" s="5117">
        <f>E143</f>
        <v>0</v>
      </c>
      <c r="F118" s="5117"/>
      <c r="G118" s="5116"/>
      <c r="H118" s="5117"/>
      <c r="I118" s="5116"/>
      <c r="J118" s="5117"/>
      <c r="K118" s="5117">
        <f>'Phụ lục số 2'!P17</f>
        <v>0</v>
      </c>
      <c r="L118" s="5117">
        <f>+'Phụ lục số 2'!P18</f>
        <v>0</v>
      </c>
      <c r="M118" s="5117">
        <f>+'Phụ lục số 2'!P19</f>
        <v>0</v>
      </c>
      <c r="N118" s="5117">
        <f>'Phụ lục số 2'!S17</f>
        <v>0</v>
      </c>
      <c r="O118" s="5117" t="e">
        <f>'Phụ lục số 2'!T17</f>
        <v>#DIV/0!</v>
      </c>
      <c r="P118" s="330"/>
      <c r="Q118" s="330"/>
      <c r="R118" s="330"/>
      <c r="S118" s="330"/>
      <c r="T118" s="330"/>
      <c r="U118" s="330"/>
      <c r="V118" s="5117"/>
      <c r="W118" s="330"/>
      <c r="X118" s="330"/>
      <c r="Y118" s="330"/>
      <c r="Z118" s="330"/>
      <c r="AA118" s="330"/>
      <c r="AB118" s="330"/>
      <c r="AC118" s="330"/>
      <c r="AD118" s="330"/>
      <c r="AE118" s="330"/>
      <c r="AF118" s="330"/>
      <c r="AG118" s="330"/>
      <c r="AH118" s="5117">
        <f t="shared" si="42"/>
        <v>0</v>
      </c>
      <c r="AI118" s="330"/>
      <c r="AJ118" s="330"/>
      <c r="AK118" s="330"/>
      <c r="AL118" s="330"/>
      <c r="AM118" s="330"/>
      <c r="AN118" s="1659"/>
    </row>
    <row r="119" spans="1:51" s="380" customFormat="1">
      <c r="A119" s="611" t="s">
        <v>726</v>
      </c>
      <c r="B119" s="890" t="s">
        <v>761</v>
      </c>
      <c r="C119" s="5128">
        <f t="shared" si="48"/>
        <v>3500</v>
      </c>
      <c r="D119" s="5117">
        <f t="shared" si="49"/>
        <v>0</v>
      </c>
      <c r="E119" s="5117"/>
      <c r="F119" s="5117"/>
      <c r="G119" s="5116"/>
      <c r="H119" s="5117"/>
      <c r="I119" s="5116"/>
      <c r="J119" s="5117"/>
      <c r="K119" s="5117"/>
      <c r="L119" s="5117"/>
      <c r="M119" s="5117"/>
      <c r="N119" s="5117"/>
      <c r="O119" s="5117"/>
      <c r="P119" s="330"/>
      <c r="Q119" s="330"/>
      <c r="R119" s="330"/>
      <c r="S119" s="330"/>
      <c r="T119" s="330"/>
      <c r="U119" s="330"/>
      <c r="V119" s="5117"/>
      <c r="W119" s="330"/>
      <c r="X119" s="330"/>
      <c r="Y119" s="330"/>
      <c r="Z119" s="330"/>
      <c r="AA119" s="330"/>
      <c r="AB119" s="330"/>
      <c r="AC119" s="330"/>
      <c r="AD119" s="6028">
        <f>3000+500</f>
        <v>3500</v>
      </c>
      <c r="AE119" s="330"/>
      <c r="AF119" s="330"/>
      <c r="AG119" s="330"/>
      <c r="AH119" s="5117">
        <f t="shared" si="42"/>
        <v>0</v>
      </c>
      <c r="AI119" s="330"/>
      <c r="AJ119" s="330"/>
      <c r="AK119" s="330"/>
      <c r="AL119" s="330"/>
      <c r="AM119" s="330"/>
      <c r="AN119" s="1659"/>
    </row>
    <row r="120" spans="1:51" s="380" customFormat="1">
      <c r="A120" s="611" t="s">
        <v>727</v>
      </c>
      <c r="B120" s="5878" t="s">
        <v>723</v>
      </c>
      <c r="C120" s="5128">
        <f t="shared" si="48"/>
        <v>2000</v>
      </c>
      <c r="D120" s="5117">
        <f t="shared" si="49"/>
        <v>0</v>
      </c>
      <c r="E120" s="5117"/>
      <c r="F120" s="5117"/>
      <c r="G120" s="5116"/>
      <c r="H120" s="5117"/>
      <c r="I120" s="5116"/>
      <c r="J120" s="5117"/>
      <c r="K120" s="5117"/>
      <c r="L120" s="5117"/>
      <c r="M120" s="5117"/>
      <c r="N120" s="5117"/>
      <c r="O120" s="5117"/>
      <c r="P120" s="330"/>
      <c r="Q120" s="330"/>
      <c r="R120" s="330"/>
      <c r="S120" s="330"/>
      <c r="T120" s="330"/>
      <c r="U120" s="330"/>
      <c r="V120" s="5117"/>
      <c r="W120" s="330"/>
      <c r="X120" s="330"/>
      <c r="Y120" s="330"/>
      <c r="Z120" s="330"/>
      <c r="AA120" s="330"/>
      <c r="AB120" s="330"/>
      <c r="AC120" s="330"/>
      <c r="AD120" s="330"/>
      <c r="AE120" s="6014">
        <f>1400+600</f>
        <v>2000</v>
      </c>
      <c r="AF120" s="330"/>
      <c r="AG120" s="5117"/>
      <c r="AH120" s="5117">
        <f t="shared" si="42"/>
        <v>0</v>
      </c>
      <c r="AI120" s="330"/>
      <c r="AJ120" s="330"/>
      <c r="AK120" s="330"/>
      <c r="AL120" s="330"/>
      <c r="AM120" s="330"/>
      <c r="AN120" s="1659"/>
    </row>
    <row r="121" spans="1:51" s="380" customFormat="1">
      <c r="A121" s="611" t="s">
        <v>729</v>
      </c>
      <c r="B121" s="5875" t="s">
        <v>762</v>
      </c>
      <c r="C121" s="5128">
        <f t="shared" si="48"/>
        <v>163959.4</v>
      </c>
      <c r="D121" s="5117">
        <f t="shared" si="49"/>
        <v>0</v>
      </c>
      <c r="E121" s="5117"/>
      <c r="F121" s="5117"/>
      <c r="G121" s="5116"/>
      <c r="H121" s="5117"/>
      <c r="I121" s="5116"/>
      <c r="J121" s="5117">
        <f>'[2]Phụ lục số 2'!AA13</f>
        <v>0</v>
      </c>
      <c r="K121" s="5117"/>
      <c r="L121" s="5117"/>
      <c r="M121" s="5117"/>
      <c r="N121" s="5117"/>
      <c r="O121" s="5117"/>
      <c r="P121" s="330"/>
      <c r="Q121" s="330"/>
      <c r="R121" s="330"/>
      <c r="S121" s="330"/>
      <c r="T121" s="330"/>
      <c r="U121" s="330"/>
      <c r="V121" s="5117"/>
      <c r="W121" s="330"/>
      <c r="X121" s="330"/>
      <c r="Y121" s="330"/>
      <c r="Z121" s="330"/>
      <c r="AA121" s="330"/>
      <c r="AB121" s="330"/>
      <c r="AC121" s="330"/>
      <c r="AD121" s="330"/>
      <c r="AE121" s="330"/>
      <c r="AF121" s="6028">
        <f>163959.4</f>
        <v>163959.4</v>
      </c>
      <c r="AG121" s="330"/>
      <c r="AH121" s="5117">
        <f t="shared" si="42"/>
        <v>0</v>
      </c>
      <c r="AI121" s="330"/>
      <c r="AJ121" s="330"/>
      <c r="AK121" s="330"/>
      <c r="AL121" s="330"/>
      <c r="AM121" s="330"/>
      <c r="AN121" s="1659"/>
    </row>
    <row r="122" spans="1:51" s="380" customFormat="1">
      <c r="A122" s="611" t="s">
        <v>3</v>
      </c>
      <c r="B122" s="5883" t="s">
        <v>763</v>
      </c>
      <c r="C122" s="5128">
        <f t="shared" si="48"/>
        <v>0</v>
      </c>
      <c r="D122" s="5117">
        <f t="shared" si="49"/>
        <v>0</v>
      </c>
      <c r="E122" s="5117"/>
      <c r="F122" s="5117"/>
      <c r="G122" s="5116"/>
      <c r="H122" s="5117"/>
      <c r="I122" s="5116"/>
      <c r="J122" s="5117"/>
      <c r="K122" s="5117"/>
      <c r="L122" s="5117"/>
      <c r="M122" s="5117"/>
      <c r="N122" s="5117"/>
      <c r="O122" s="5117"/>
      <c r="P122" s="330"/>
      <c r="Q122" s="330"/>
      <c r="R122" s="330"/>
      <c r="S122" s="330"/>
      <c r="T122" s="330"/>
      <c r="U122" s="330"/>
      <c r="V122" s="5117"/>
      <c r="W122" s="330"/>
      <c r="X122" s="330"/>
      <c r="Y122" s="330"/>
      <c r="Z122" s="330"/>
      <c r="AA122" s="330"/>
      <c r="AB122" s="330"/>
      <c r="AC122" s="330"/>
      <c r="AD122" s="330"/>
      <c r="AE122" s="330"/>
      <c r="AF122" s="330"/>
      <c r="AG122" s="6027"/>
      <c r="AH122" s="5117"/>
      <c r="AI122" s="330"/>
      <c r="AJ122" s="330"/>
      <c r="AK122" s="330"/>
      <c r="AL122" s="330"/>
      <c r="AM122" s="330"/>
      <c r="AN122" s="1659"/>
    </row>
    <row r="123" spans="1:51" s="380" customFormat="1" ht="34.799999999999997">
      <c r="A123" s="611" t="s">
        <v>730</v>
      </c>
      <c r="B123" s="5884" t="s">
        <v>764</v>
      </c>
      <c r="C123" s="5128">
        <f t="shared" si="48"/>
        <v>2530494</v>
      </c>
      <c r="D123" s="5117">
        <f t="shared" si="49"/>
        <v>0</v>
      </c>
      <c r="E123" s="5117"/>
      <c r="F123" s="5117"/>
      <c r="G123" s="5116"/>
      <c r="H123" s="5117"/>
      <c r="I123" s="5116"/>
      <c r="J123" s="5117"/>
      <c r="K123" s="5117"/>
      <c r="L123" s="5117"/>
      <c r="M123" s="5117"/>
      <c r="N123" s="5117"/>
      <c r="O123" s="5117"/>
      <c r="P123" s="330"/>
      <c r="Q123" s="330"/>
      <c r="R123" s="330"/>
      <c r="S123" s="330"/>
      <c r="T123" s="330"/>
      <c r="U123" s="330"/>
      <c r="V123" s="5117"/>
      <c r="W123" s="330"/>
      <c r="X123" s="330"/>
      <c r="Y123" s="330"/>
      <c r="Z123" s="330"/>
      <c r="AA123" s="330"/>
      <c r="AB123" s="330"/>
      <c r="AC123" s="330"/>
      <c r="AD123" s="330"/>
      <c r="AE123" s="330"/>
      <c r="AF123" s="330"/>
      <c r="AG123" s="330"/>
      <c r="AH123" s="6029">
        <f t="shared" si="42"/>
        <v>2530494</v>
      </c>
      <c r="AI123" s="5117">
        <f>'Phụ lục số 6'!D6</f>
        <v>2530494</v>
      </c>
      <c r="AJ123" s="330"/>
      <c r="AK123" s="330"/>
      <c r="AL123" s="330"/>
      <c r="AM123" s="330"/>
      <c r="AN123" s="1659"/>
    </row>
    <row r="124" spans="1:51" s="380" customFormat="1" ht="34.799999999999997">
      <c r="A124" s="611" t="s">
        <v>731</v>
      </c>
      <c r="B124" s="5878" t="s">
        <v>765</v>
      </c>
      <c r="C124" s="5128">
        <f t="shared" si="48"/>
        <v>0</v>
      </c>
      <c r="D124" s="5117">
        <f t="shared" si="49"/>
        <v>0</v>
      </c>
      <c r="E124" s="5117"/>
      <c r="F124" s="5117"/>
      <c r="G124" s="5116"/>
      <c r="H124" s="5117"/>
      <c r="I124" s="5116"/>
      <c r="J124" s="5117"/>
      <c r="K124" s="5117"/>
      <c r="L124" s="5117"/>
      <c r="M124" s="5117"/>
      <c r="N124" s="5117"/>
      <c r="O124" s="5117"/>
      <c r="P124" s="330"/>
      <c r="Q124" s="330"/>
      <c r="R124" s="330"/>
      <c r="S124" s="330"/>
      <c r="T124" s="330"/>
      <c r="U124" s="330"/>
      <c r="V124" s="5117"/>
      <c r="W124" s="330"/>
      <c r="X124" s="330"/>
      <c r="Y124" s="330"/>
      <c r="Z124" s="330"/>
      <c r="AA124" s="330"/>
      <c r="AB124" s="330"/>
      <c r="AC124" s="330"/>
      <c r="AD124" s="330"/>
      <c r="AE124" s="330"/>
      <c r="AF124" s="330"/>
      <c r="AG124" s="330"/>
      <c r="AH124" s="5117">
        <f t="shared" si="42"/>
        <v>0</v>
      </c>
      <c r="AI124" s="330"/>
      <c r="AJ124" s="330"/>
      <c r="AK124" s="330"/>
      <c r="AL124" s="330"/>
      <c r="AM124" s="330"/>
      <c r="AN124" s="1659"/>
    </row>
    <row r="125" spans="1:51" s="380" customFormat="1" ht="34.799999999999997">
      <c r="A125" s="611" t="s">
        <v>732</v>
      </c>
      <c r="B125" s="4782" t="s">
        <v>3249</v>
      </c>
      <c r="C125" s="5128">
        <f>D125+P125+AD125+AE125+AH125+AL125+AF125+AG125+AK125+AM125</f>
        <v>5553.7960000000003</v>
      </c>
      <c r="D125" s="5117">
        <f t="shared" si="49"/>
        <v>0</v>
      </c>
      <c r="E125" s="5117"/>
      <c r="F125" s="5117"/>
      <c r="G125" s="5116"/>
      <c r="H125" s="5117"/>
      <c r="I125" s="5116"/>
      <c r="J125" s="5117"/>
      <c r="K125" s="5117"/>
      <c r="L125" s="5117"/>
      <c r="M125" s="5117"/>
      <c r="N125" s="5117"/>
      <c r="O125" s="5117"/>
      <c r="P125" s="330"/>
      <c r="Q125" s="330"/>
      <c r="R125" s="330"/>
      <c r="S125" s="330"/>
      <c r="T125" s="330"/>
      <c r="U125" s="330"/>
      <c r="V125" s="5117"/>
      <c r="W125" s="330"/>
      <c r="X125" s="330"/>
      <c r="Y125" s="330"/>
      <c r="Z125" s="330"/>
      <c r="AA125" s="330"/>
      <c r="AB125" s="330"/>
      <c r="AC125" s="330"/>
      <c r="AD125" s="330"/>
      <c r="AE125" s="330"/>
      <c r="AF125" s="330"/>
      <c r="AG125" s="330"/>
      <c r="AH125" s="5117"/>
      <c r="AI125" s="330"/>
      <c r="AJ125" s="330"/>
      <c r="AK125" s="330"/>
      <c r="AL125" s="330"/>
      <c r="AM125" s="329">
        <f>+'Phụ lục số 1'!U56</f>
        <v>5553.7960000000003</v>
      </c>
      <c r="AN125" s="1657"/>
    </row>
    <row r="126" spans="1:51" s="380" customFormat="1">
      <c r="A126" s="5241" t="s">
        <v>3173</v>
      </c>
      <c r="B126" s="5885" t="s">
        <v>3174</v>
      </c>
      <c r="C126" s="5976"/>
      <c r="D126" s="6030"/>
      <c r="E126" s="6030"/>
      <c r="F126" s="6030"/>
      <c r="G126" s="6031"/>
      <c r="H126" s="6030"/>
      <c r="I126" s="6031"/>
      <c r="J126" s="6030"/>
      <c r="K126" s="6030"/>
      <c r="L126" s="6030"/>
      <c r="M126" s="6030"/>
      <c r="N126" s="6030"/>
      <c r="O126" s="6030"/>
      <c r="P126" s="5182"/>
      <c r="Q126" s="5182"/>
      <c r="R126" s="5182"/>
      <c r="S126" s="5182"/>
      <c r="T126" s="5182"/>
      <c r="U126" s="5182"/>
      <c r="V126" s="6030"/>
      <c r="W126" s="5182"/>
      <c r="X126" s="5182"/>
      <c r="Y126" s="5182"/>
      <c r="Z126" s="5182"/>
      <c r="AA126" s="5182"/>
      <c r="AB126" s="5182"/>
      <c r="AC126" s="5182"/>
      <c r="AD126" s="5182"/>
      <c r="AE126" s="5182"/>
      <c r="AF126" s="5182"/>
      <c r="AG126" s="5182"/>
      <c r="AH126" s="6030"/>
      <c r="AI126" s="5182"/>
      <c r="AJ126" s="5182"/>
      <c r="AK126" s="5182"/>
      <c r="AL126" s="5182"/>
      <c r="AM126" s="5181"/>
      <c r="AN126" s="5255">
        <v>186700</v>
      </c>
    </row>
    <row r="127" spans="1:51" s="380" customFormat="1" ht="18.600000000000001" thickBot="1">
      <c r="A127" s="632" t="s">
        <v>3248</v>
      </c>
      <c r="B127" s="5887" t="s">
        <v>733</v>
      </c>
      <c r="C127" s="5980">
        <f>D127+P127+AD127+AE127+AH127+AL127+AF127+AG127+AK127</f>
        <v>7078351.9069999997</v>
      </c>
      <c r="D127" s="6032">
        <f t="shared" ref="D127" si="50">SUM(E127:K127)</f>
        <v>0</v>
      </c>
      <c r="E127" s="6032"/>
      <c r="F127" s="6032"/>
      <c r="G127" s="6033"/>
      <c r="H127" s="6032"/>
      <c r="I127" s="6033"/>
      <c r="J127" s="6032"/>
      <c r="K127" s="6032"/>
      <c r="L127" s="6032"/>
      <c r="M127" s="6032"/>
      <c r="N127" s="6032"/>
      <c r="O127" s="6032"/>
      <c r="P127" s="5187"/>
      <c r="Q127" s="5187"/>
      <c r="R127" s="5187"/>
      <c r="S127" s="5187"/>
      <c r="T127" s="5187"/>
      <c r="U127" s="5187"/>
      <c r="V127" s="6032"/>
      <c r="W127" s="5187"/>
      <c r="X127" s="5187"/>
      <c r="Y127" s="5187"/>
      <c r="Z127" s="5187"/>
      <c r="AA127" s="5187"/>
      <c r="AB127" s="5187"/>
      <c r="AC127" s="5187"/>
      <c r="AD127" s="5187"/>
      <c r="AE127" s="5187"/>
      <c r="AF127" s="5187"/>
      <c r="AG127" s="5187"/>
      <c r="AH127" s="5187"/>
      <c r="AI127" s="5187"/>
      <c r="AJ127" s="5187"/>
      <c r="AK127" s="5187"/>
      <c r="AL127" s="6032">
        <f>'Phụ lục số 7'!E36</f>
        <v>7078351.9069999997</v>
      </c>
      <c r="AM127" s="5187"/>
      <c r="AN127" s="6034"/>
    </row>
    <row r="128" spans="1:51" ht="18.600000000000001" thickTop="1"/>
    <row r="129" spans="1:33" hidden="1">
      <c r="B129" s="386" t="s">
        <v>1796</v>
      </c>
      <c r="AF129" s="5137"/>
    </row>
    <row r="130" spans="1:33" hidden="1">
      <c r="A130" s="641" t="s">
        <v>1</v>
      </c>
      <c r="B130" s="386" t="s">
        <v>1802</v>
      </c>
    </row>
    <row r="131" spans="1:33" s="386" customFormat="1" hidden="1">
      <c r="A131" s="641">
        <v>1</v>
      </c>
      <c r="B131" s="386" t="s">
        <v>1798</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1797</v>
      </c>
      <c r="B132" s="2884" t="s">
        <v>1799</v>
      </c>
      <c r="C132" s="635"/>
      <c r="D132" s="635"/>
      <c r="E132" s="635"/>
      <c r="F132" s="635"/>
      <c r="G132" s="5401"/>
      <c r="H132" s="635"/>
      <c r="I132" s="5401"/>
      <c r="J132" s="635"/>
      <c r="K132" s="635"/>
      <c r="L132" s="635"/>
      <c r="M132" s="635"/>
      <c r="N132" s="635"/>
      <c r="O132" s="635"/>
      <c r="P132" s="656">
        <f t="shared" si="51"/>
        <v>20153</v>
      </c>
      <c r="Q132" s="635">
        <v>15770</v>
      </c>
      <c r="R132" s="635"/>
      <c r="S132" s="635"/>
      <c r="T132" s="635"/>
      <c r="U132" s="5113">
        <v>0</v>
      </c>
      <c r="V132" s="635"/>
      <c r="W132" s="635"/>
      <c r="X132" s="635"/>
      <c r="Y132" s="5113">
        <v>82</v>
      </c>
      <c r="Z132" s="5113">
        <v>2312</v>
      </c>
      <c r="AA132" s="635">
        <v>1989</v>
      </c>
      <c r="AB132" s="5113"/>
      <c r="AC132" s="635"/>
      <c r="AD132" s="635"/>
      <c r="AE132" s="635"/>
    </row>
    <row r="133" spans="1:33" s="617" customFormat="1" hidden="1">
      <c r="A133" s="636" t="s">
        <v>1797</v>
      </c>
      <c r="B133" s="2884" t="s">
        <v>1800</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1797</v>
      </c>
      <c r="B134" s="666" t="s">
        <v>1801</v>
      </c>
      <c r="C134" s="643"/>
      <c r="D134" s="644"/>
      <c r="E134" s="644"/>
      <c r="F134" s="642"/>
      <c r="G134" s="5402"/>
      <c r="H134" s="642"/>
      <c r="I134" s="5402"/>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1797</v>
      </c>
      <c r="B135" s="666" t="s">
        <v>1806</v>
      </c>
      <c r="C135" s="643"/>
      <c r="D135" s="644"/>
      <c r="E135" s="644"/>
      <c r="F135" s="642"/>
      <c r="G135" s="5402"/>
      <c r="H135" s="642"/>
      <c r="I135" s="5402"/>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3213</v>
      </c>
      <c r="C136" s="643"/>
      <c r="D136" s="644"/>
      <c r="E136" s="644"/>
      <c r="F136" s="642"/>
      <c r="G136" s="5402"/>
      <c r="H136" s="642"/>
      <c r="I136" s="5402"/>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39" t="s">
        <v>3212</v>
      </c>
      <c r="C137" s="635"/>
      <c r="D137" s="647"/>
      <c r="E137" s="648"/>
      <c r="F137" s="649"/>
      <c r="G137" s="5403"/>
      <c r="H137" s="649"/>
      <c r="I137" s="5403"/>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3214</v>
      </c>
      <c r="C138" s="643"/>
      <c r="D138" s="644"/>
      <c r="E138" s="644"/>
      <c r="F138" s="644"/>
      <c r="G138" s="5404"/>
      <c r="H138" s="644"/>
      <c r="I138" s="5404"/>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04"/>
      <c r="H139" s="644"/>
      <c r="I139" s="5404"/>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1803</v>
      </c>
      <c r="C140" s="643"/>
      <c r="D140" s="644"/>
      <c r="E140" s="644"/>
      <c r="F140" s="644"/>
      <c r="G140" s="5404"/>
      <c r="H140" s="644"/>
      <c r="I140" s="5404"/>
      <c r="J140" s="642"/>
      <c r="K140" s="642"/>
      <c r="L140" s="642"/>
      <c r="M140" s="642"/>
      <c r="N140" s="642"/>
      <c r="O140" s="642"/>
      <c r="P140" s="5129">
        <f t="shared" ref="P140:P143" si="52">SUM(Q140:AC140)</f>
        <v>4150</v>
      </c>
      <c r="Q140" s="5130"/>
      <c r="R140" s="5131"/>
      <c r="S140" s="5131"/>
      <c r="T140" s="5131"/>
      <c r="U140" s="5131"/>
      <c r="V140" s="5131"/>
      <c r="W140" s="5131"/>
      <c r="X140" s="5131"/>
      <c r="Y140" s="5131"/>
      <c r="Z140" s="5131"/>
      <c r="AA140" s="5131">
        <f>+[33]Sheet1!$O$4</f>
        <v>4150</v>
      </c>
      <c r="AB140" s="5131"/>
      <c r="AC140" s="5131"/>
      <c r="AD140" s="644"/>
      <c r="AE140" s="644"/>
    </row>
    <row r="141" spans="1:33" s="386" customFormat="1" hidden="1">
      <c r="A141" s="641"/>
      <c r="B141" s="654"/>
      <c r="C141" s="643"/>
      <c r="D141" s="644"/>
      <c r="E141" s="644"/>
      <c r="F141" s="644"/>
      <c r="G141" s="5404"/>
      <c r="H141" s="644"/>
      <c r="I141" s="5404"/>
      <c r="J141" s="642"/>
      <c r="K141" s="642"/>
      <c r="L141" s="642"/>
      <c r="M141" s="642"/>
      <c r="N141" s="642"/>
      <c r="O141" s="642"/>
      <c r="P141" s="5129">
        <f t="shared" si="52"/>
        <v>0</v>
      </c>
      <c r="Q141" s="5130"/>
      <c r="R141" s="5131"/>
      <c r="S141" s="5131"/>
      <c r="T141" s="5131"/>
      <c r="U141" s="5131"/>
      <c r="V141" s="5131"/>
      <c r="W141" s="5131"/>
      <c r="X141" s="5131"/>
      <c r="Y141" s="5131"/>
      <c r="Z141" s="5131"/>
      <c r="AA141" s="5131"/>
      <c r="AB141" s="5131"/>
      <c r="AC141" s="5131"/>
      <c r="AD141" s="644"/>
      <c r="AE141" s="644"/>
    </row>
    <row r="142" spans="1:33" s="386" customFormat="1" hidden="1">
      <c r="A142" s="641" t="s">
        <v>44</v>
      </c>
      <c r="B142" s="654" t="s">
        <v>1804</v>
      </c>
      <c r="C142" s="643"/>
      <c r="D142" s="644" t="s">
        <v>117</v>
      </c>
      <c r="E142" s="644"/>
      <c r="F142" s="644"/>
      <c r="G142" s="5404"/>
      <c r="H142" s="644"/>
      <c r="I142" s="5404"/>
      <c r="J142" s="642"/>
      <c r="K142" s="642"/>
      <c r="L142" s="642"/>
      <c r="M142" s="642"/>
      <c r="N142" s="642"/>
      <c r="O142" s="642"/>
      <c r="P142" s="5129">
        <f t="shared" si="52"/>
        <v>69292</v>
      </c>
      <c r="Q142" s="5130"/>
      <c r="R142" s="5130"/>
      <c r="S142" s="5130"/>
      <c r="T142" s="5130"/>
      <c r="U142" s="5130"/>
      <c r="V142" s="5130"/>
      <c r="W142" s="5130"/>
      <c r="X142" s="5130"/>
      <c r="Y142" s="5130"/>
      <c r="Z142" s="5130"/>
      <c r="AA142" s="5130">
        <f>+[33]Sheet1!$P$4</f>
        <v>69292</v>
      </c>
      <c r="AB142" s="5130"/>
      <c r="AC142" s="5130"/>
      <c r="AD142" s="644"/>
      <c r="AE142" s="644"/>
    </row>
    <row r="143" spans="1:33" s="386" customFormat="1" hidden="1">
      <c r="A143" s="641"/>
      <c r="B143" s="654"/>
      <c r="C143" s="643"/>
      <c r="D143" s="644"/>
      <c r="E143" s="644"/>
      <c r="F143" s="644"/>
      <c r="G143" s="5404"/>
      <c r="H143" s="644"/>
      <c r="I143" s="5404"/>
      <c r="J143" s="642"/>
      <c r="K143" s="642"/>
      <c r="L143" s="642"/>
      <c r="M143" s="642"/>
      <c r="N143" s="642"/>
      <c r="O143" s="642"/>
      <c r="P143" s="5129">
        <f t="shared" si="52"/>
        <v>0</v>
      </c>
      <c r="Q143" s="5130"/>
      <c r="R143" s="5131"/>
      <c r="S143" s="5131"/>
      <c r="T143" s="5131"/>
      <c r="U143" s="5131"/>
      <c r="V143" s="5131"/>
      <c r="W143" s="5131"/>
      <c r="X143" s="5131"/>
      <c r="Y143" s="5131"/>
      <c r="Z143" s="5131"/>
      <c r="AA143" s="5131"/>
      <c r="AB143" s="5131"/>
      <c r="AC143" s="5131"/>
      <c r="AD143" s="644"/>
      <c r="AE143" s="644"/>
    </row>
    <row r="144" spans="1:33" s="380" customFormat="1" hidden="1">
      <c r="A144" s="382" t="s">
        <v>46</v>
      </c>
      <c r="B144" s="634" t="s">
        <v>1805</v>
      </c>
      <c r="C144" s="635"/>
      <c r="D144" s="647"/>
      <c r="E144" s="647"/>
      <c r="F144" s="647"/>
      <c r="G144" s="5406"/>
      <c r="H144" s="647"/>
      <c r="I144" s="5406"/>
      <c r="J144" s="649"/>
      <c r="K144" s="649"/>
      <c r="L144" s="649"/>
      <c r="M144" s="649"/>
      <c r="N144" s="649"/>
      <c r="O144" s="649"/>
      <c r="P144" s="5129">
        <f>SUM(Q144:AC144)</f>
        <v>263002.38899999997</v>
      </c>
      <c r="Q144" s="5132">
        <f>+[33]Sheet1!$H$4</f>
        <v>60051</v>
      </c>
      <c r="R144" s="5133">
        <f>+[33]Sheet1!$G$4</f>
        <v>1132.472</v>
      </c>
      <c r="S144" s="5133"/>
      <c r="T144" s="5133"/>
      <c r="U144" s="5133"/>
      <c r="V144" s="5133"/>
      <c r="W144" s="5133">
        <f>+[33]Sheet1!$K$4</f>
        <v>29448.800000000003</v>
      </c>
      <c r="X144" s="5133"/>
      <c r="Y144" s="5133">
        <f>+[33]Sheet1!$F$4</f>
        <v>36299.116999999998</v>
      </c>
      <c r="Z144" s="5133">
        <f>+[33]Sheet1!$E$4</f>
        <v>117981</v>
      </c>
      <c r="AA144" s="5133">
        <f>+[33]Sheet1!$N$4</f>
        <v>18090</v>
      </c>
      <c r="AB144" s="5133"/>
      <c r="AC144" s="5133"/>
      <c r="AD144" s="647"/>
      <c r="AE144" s="647"/>
    </row>
    <row r="145" spans="1:41" s="386" customFormat="1" hidden="1">
      <c r="A145" s="641"/>
      <c r="B145" s="654" t="s">
        <v>3217</v>
      </c>
      <c r="C145" s="643"/>
      <c r="D145" s="644"/>
      <c r="E145" s="644"/>
      <c r="F145" s="644"/>
      <c r="G145" s="5404"/>
      <c r="H145" s="644"/>
      <c r="I145" s="5404"/>
      <c r="J145" s="642"/>
      <c r="K145" s="642"/>
      <c r="L145" s="642"/>
      <c r="M145" s="642"/>
      <c r="N145" s="642"/>
      <c r="O145" s="642"/>
      <c r="P145" s="5130">
        <f t="shared" ref="P145:AC145" si="53">+P144+P142+P140</f>
        <v>336444.38899999997</v>
      </c>
      <c r="Q145" s="5130">
        <f t="shared" si="53"/>
        <v>60051</v>
      </c>
      <c r="R145" s="5130">
        <f t="shared" si="53"/>
        <v>1132.472</v>
      </c>
      <c r="S145" s="5130">
        <f t="shared" si="53"/>
        <v>0</v>
      </c>
      <c r="T145" s="5130">
        <f t="shared" si="53"/>
        <v>0</v>
      </c>
      <c r="U145" s="5130">
        <f t="shared" si="53"/>
        <v>0</v>
      </c>
      <c r="V145" s="5130">
        <f t="shared" si="53"/>
        <v>0</v>
      </c>
      <c r="W145" s="5130">
        <f t="shared" si="53"/>
        <v>29448.800000000003</v>
      </c>
      <c r="X145" s="5130">
        <f t="shared" si="53"/>
        <v>0</v>
      </c>
      <c r="Y145" s="5130">
        <f t="shared" si="53"/>
        <v>36299.116999999998</v>
      </c>
      <c r="Z145" s="5130">
        <f t="shared" si="53"/>
        <v>117981</v>
      </c>
      <c r="AA145" s="5130">
        <f t="shared" si="53"/>
        <v>91532</v>
      </c>
      <c r="AB145" s="5130">
        <f t="shared" si="53"/>
        <v>0</v>
      </c>
      <c r="AC145" s="5130">
        <f t="shared" si="53"/>
        <v>0</v>
      </c>
      <c r="AD145" s="644"/>
      <c r="AE145" s="644"/>
    </row>
    <row r="146" spans="1:41" s="386" customFormat="1" hidden="1">
      <c r="A146" s="641"/>
      <c r="B146" s="654"/>
      <c r="C146" s="643"/>
      <c r="D146" s="644"/>
      <c r="E146" s="644"/>
      <c r="F146" s="644"/>
      <c r="G146" s="5404"/>
      <c r="H146" s="644"/>
      <c r="I146" s="5404"/>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04"/>
      <c r="H147" s="644"/>
      <c r="I147" s="5404"/>
      <c r="J147" s="642"/>
      <c r="K147" s="642"/>
      <c r="L147" s="642"/>
      <c r="M147" s="642"/>
      <c r="N147" s="642"/>
      <c r="O147" s="642"/>
      <c r="P147" s="656"/>
      <c r="Q147" s="656"/>
      <c r="R147" s="644"/>
      <c r="S147" s="644"/>
      <c r="T147" s="644"/>
      <c r="U147" s="644"/>
      <c r="V147" s="644"/>
      <c r="W147" s="644"/>
      <c r="X147" s="644"/>
      <c r="Y147" s="4779"/>
      <c r="Z147" s="644"/>
      <c r="AA147" s="644"/>
      <c r="AB147" s="644"/>
      <c r="AC147" s="644"/>
      <c r="AD147" s="644"/>
      <c r="AE147" s="644"/>
    </row>
    <row r="148" spans="1:41" s="386" customFormat="1" hidden="1">
      <c r="A148" s="641"/>
      <c r="B148" s="654" t="s">
        <v>3113</v>
      </c>
      <c r="C148" s="656">
        <f>D148+P148+AD148+AE148+AF148+AG148+AH148+AK148+AL148</f>
        <v>14210382.962000001</v>
      </c>
      <c r="D148" s="656">
        <f>SUM(E148:K148)</f>
        <v>3607240.162</v>
      </c>
      <c r="E148" s="656">
        <v>562186</v>
      </c>
      <c r="F148" s="656">
        <v>627000</v>
      </c>
      <c r="G148" s="5407"/>
      <c r="H148" s="656">
        <v>1950000</v>
      </c>
      <c r="I148" s="5407"/>
      <c r="J148" s="4760">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59">
        <v>152264.4</v>
      </c>
      <c r="AG148" s="4758">
        <v>79139</v>
      </c>
      <c r="AH148" s="4758">
        <f>SUM(AI148:AJ148)</f>
        <v>1988976</v>
      </c>
      <c r="AI148" s="4758">
        <v>1814491</v>
      </c>
      <c r="AJ148" s="4758">
        <v>174485</v>
      </c>
      <c r="AK148" s="4758">
        <v>0</v>
      </c>
      <c r="AL148" s="4758">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04"/>
      <c r="H149" s="644">
        <v>2000000</v>
      </c>
      <c r="I149" s="5404"/>
      <c r="J149" s="642"/>
      <c r="K149" s="4776">
        <v>100000</v>
      </c>
      <c r="L149" s="4776"/>
      <c r="M149" s="4776"/>
      <c r="N149" s="4776"/>
      <c r="O149" s="4776"/>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58">
        <f>SUM(AI149:AJ149)</f>
        <v>2782607</v>
      </c>
      <c r="AI149" s="685">
        <f>+AI10</f>
        <v>2530494</v>
      </c>
      <c r="AJ149" s="685">
        <f>+AJ10</f>
        <v>252113</v>
      </c>
      <c r="AL149" s="660">
        <f>+AL127</f>
        <v>7078351.9069999997</v>
      </c>
    </row>
    <row r="150" spans="1:41" s="386" customFormat="1" hidden="1">
      <c r="A150" s="641"/>
      <c r="B150" s="642"/>
      <c r="C150" s="643"/>
      <c r="D150" s="644"/>
      <c r="E150" s="644"/>
      <c r="F150" s="643"/>
      <c r="G150" s="5405"/>
      <c r="H150" s="643"/>
      <c r="I150" s="5405"/>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77">
        <v>0.1</v>
      </c>
      <c r="C151" s="643"/>
      <c r="D151" s="644"/>
      <c r="E151" s="644"/>
      <c r="F151" s="642"/>
      <c r="G151" s="5402"/>
      <c r="H151" s="642"/>
      <c r="I151" s="5402"/>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04"/>
      <c r="H152" s="642"/>
      <c r="I152" s="5402"/>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02"/>
      <c r="H153" s="642"/>
      <c r="I153" s="5402"/>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02"/>
      <c r="H154" s="642"/>
      <c r="I154" s="5402"/>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3177</v>
      </c>
      <c r="C155" s="643">
        <f>'Phụ lục số 1'!O59</f>
        <v>129700</v>
      </c>
      <c r="D155" s="655"/>
      <c r="E155" s="644"/>
      <c r="F155" s="642"/>
      <c r="G155" s="5402"/>
      <c r="H155" s="642"/>
      <c r="I155" s="5402"/>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02"/>
      <c r="H156" s="642"/>
      <c r="I156" s="5402"/>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04"/>
      <c r="H157" s="644"/>
      <c r="I157" s="5404"/>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02"/>
      <c r="H158" s="642"/>
      <c r="I158" s="5402"/>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04"/>
      <c r="H159" s="642"/>
      <c r="I159" s="5402"/>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3176</v>
      </c>
      <c r="C160" s="635">
        <f>'Phụ lục số 1'!U59</f>
        <v>132300</v>
      </c>
      <c r="D160" s="647"/>
      <c r="E160" s="651"/>
      <c r="F160" s="649"/>
      <c r="G160" s="5403"/>
      <c r="H160" s="649"/>
      <c r="I160" s="5403"/>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3179</v>
      </c>
      <c r="C161" s="4863">
        <v>500</v>
      </c>
      <c r="D161" s="2314"/>
      <c r="E161" s="2314"/>
      <c r="F161" s="4863"/>
      <c r="G161" s="5408"/>
      <c r="H161" s="2314"/>
      <c r="I161" s="5410"/>
      <c r="J161" s="666"/>
      <c r="K161" s="2314"/>
      <c r="L161" s="2314"/>
      <c r="M161" s="2314"/>
      <c r="N161" s="2314"/>
      <c r="O161" s="2314"/>
      <c r="P161" s="4864"/>
      <c r="Q161" s="4864"/>
      <c r="R161" s="4865"/>
      <c r="S161" s="4865"/>
      <c r="T161" s="4865"/>
      <c r="U161" s="4865"/>
      <c r="V161" s="4865"/>
      <c r="W161" s="4865"/>
      <c r="X161" s="4865"/>
      <c r="Y161" s="4865"/>
      <c r="Z161" s="4865"/>
      <c r="AA161" s="4865"/>
      <c r="AB161" s="4865"/>
      <c r="AC161" s="4865"/>
      <c r="AD161" s="4865"/>
      <c r="AE161" s="4865"/>
      <c r="AF161" s="4865"/>
      <c r="AG161" s="4865"/>
    </row>
    <row r="162" spans="1:33" hidden="1">
      <c r="B162" s="666" t="s">
        <v>3178</v>
      </c>
      <c r="C162" s="4863">
        <v>600</v>
      </c>
      <c r="D162" s="2314"/>
      <c r="E162" s="2314"/>
      <c r="F162" s="666"/>
      <c r="G162" s="5409"/>
      <c r="H162" s="666"/>
      <c r="I162" s="5409"/>
      <c r="J162" s="666"/>
      <c r="K162" s="666"/>
      <c r="L162" s="666"/>
      <c r="M162" s="666"/>
      <c r="N162" s="666"/>
      <c r="O162" s="666"/>
      <c r="P162" s="4864"/>
      <c r="Q162" s="4864"/>
      <c r="R162" s="4865"/>
      <c r="S162" s="4865"/>
      <c r="T162" s="4865"/>
      <c r="U162" s="4865"/>
      <c r="V162" s="4865"/>
      <c r="W162" s="4865"/>
      <c r="X162" s="4865"/>
      <c r="Y162" s="4865"/>
      <c r="Z162" s="4865"/>
      <c r="AA162" s="4865"/>
      <c r="AB162" s="4865"/>
      <c r="AC162" s="4865"/>
      <c r="AD162" s="2314"/>
      <c r="AE162" s="2314"/>
    </row>
    <row r="163" spans="1:33" s="386" customFormat="1" hidden="1">
      <c r="A163" s="641"/>
      <c r="B163" s="666" t="s">
        <v>3180</v>
      </c>
      <c r="C163" s="4863">
        <f>'Phụ lục số 10'!I20</f>
        <v>129670</v>
      </c>
      <c r="D163" s="644"/>
      <c r="E163" s="644"/>
      <c r="F163" s="644"/>
      <c r="G163" s="5404"/>
      <c r="H163" s="642"/>
      <c r="I163" s="5402"/>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3185</v>
      </c>
      <c r="C164" s="643">
        <f>+C160-C161-C162-C163</f>
        <v>1530</v>
      </c>
      <c r="D164" s="644"/>
      <c r="E164" s="644"/>
      <c r="F164" s="642"/>
      <c r="G164" s="5402"/>
      <c r="H164" s="642"/>
      <c r="I164" s="5402"/>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3181</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3182</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3183</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3184</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3256</v>
      </c>
      <c r="C170" s="659">
        <f>7242926/1000</f>
        <v>7242.9260000000004</v>
      </c>
      <c r="E170" s="660"/>
      <c r="P170" s="2889"/>
      <c r="Q170" s="2889"/>
    </row>
    <row r="171" spans="1:33" hidden="1">
      <c r="B171" s="666" t="s">
        <v>3257</v>
      </c>
      <c r="C171" s="659">
        <f>+'[34]chi tiet'!$AI$12</f>
        <v>86578</v>
      </c>
      <c r="E171" s="660"/>
      <c r="P171" s="2889"/>
      <c r="Q171" s="2889"/>
    </row>
    <row r="172" spans="1:33" hidden="1">
      <c r="B172" s="666" t="s">
        <v>3258</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3185</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11">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45">
        <f>SUM(S203:S206)</f>
        <v>22901</v>
      </c>
      <c r="U202" s="5445">
        <f>+U203+U204+U205+U206</f>
        <v>30667.258661407923</v>
      </c>
      <c r="Z202" s="381">
        <f>3950-1814</f>
        <v>2136</v>
      </c>
    </row>
    <row r="203" spans="3:40" hidden="1">
      <c r="C203" s="426">
        <f>+Q82</f>
        <v>12636.937382673808</v>
      </c>
      <c r="P203" s="5112">
        <v>11726.399999999907</v>
      </c>
      <c r="Q203" s="2634">
        <f>+C203/$C$207</f>
        <v>0.10668137296184239</v>
      </c>
      <c r="R203" s="2634">
        <f>+C203/$R$207</f>
        <v>5.5178915946046951E-2</v>
      </c>
      <c r="S203" s="5445">
        <f>+ROUND(Q203*$U$207,0)</f>
        <v>2443</v>
      </c>
      <c r="U203" s="5444">
        <f>+C203*R203</f>
        <v>697.29250565401662</v>
      </c>
      <c r="V203" s="5446">
        <v>2289.9561590929575</v>
      </c>
      <c r="AB203" s="667">
        <f>+Q80</f>
        <v>15076.399999999907</v>
      </c>
      <c r="AC203" s="2634">
        <f>+AB203/$AB$207</f>
        <v>0.10665500338944814</v>
      </c>
      <c r="AD203" s="667">
        <f>+AD204+AD205</f>
        <v>92643</v>
      </c>
      <c r="AH203" s="729">
        <f>+AB203/AH207</f>
        <v>6.5830777124018497E-2</v>
      </c>
      <c r="AI203" s="5444">
        <f>(AC203*$AI$207)</f>
        <v>2442.5862238742939</v>
      </c>
      <c r="AJ203" s="5894">
        <f>+AI203+AI204</f>
        <v>18088.752569958902</v>
      </c>
    </row>
    <row r="204" spans="3:40" hidden="1">
      <c r="C204" s="667">
        <f>+Z105</f>
        <v>80946.835146215482</v>
      </c>
      <c r="P204" s="5112">
        <v>76610.400000000023</v>
      </c>
      <c r="Q204" s="2634">
        <f t="shared" ref="Q204:Q206" si="59">+C204/$C$207</f>
        <v>0.68335540873646594</v>
      </c>
      <c r="R204" s="2634">
        <f t="shared" ref="R204:R206" si="60">+C204/$R$207</f>
        <v>0.35345261888814383</v>
      </c>
      <c r="S204" s="5445">
        <f t="shared" ref="S204:S205" si="61">+ROUND(Q204*$U$207,0)</f>
        <v>15650</v>
      </c>
      <c r="U204" s="5444">
        <f>+C204*R204</f>
        <v>28610.870873136708</v>
      </c>
      <c r="V204" s="5446">
        <v>14960.640719280987</v>
      </c>
      <c r="W204" s="386">
        <v>17384</v>
      </c>
      <c r="Y204" s="381" t="s">
        <v>3236</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44">
        <f t="shared" ref="AI204:AI206" si="63">(AC204*$AI$207)</f>
        <v>15646.166346084608</v>
      </c>
    </row>
    <row r="205" spans="3:40" hidden="1">
      <c r="C205" s="426">
        <f>+AA107</f>
        <v>11443.445180987688</v>
      </c>
      <c r="P205" s="5112">
        <v>12702.606398000033</v>
      </c>
      <c r="Q205" s="2634">
        <f t="shared" si="59"/>
        <v>9.6605878968361245E-2</v>
      </c>
      <c r="R205" s="2634">
        <f t="shared" si="60"/>
        <v>4.9967557854695331E-2</v>
      </c>
      <c r="S205" s="5445">
        <f t="shared" si="61"/>
        <v>2212</v>
      </c>
      <c r="U205" s="5444">
        <f>+C205*R205</f>
        <v>571.80100913803676</v>
      </c>
      <c r="V205" s="5446">
        <v>2480.5918063202703</v>
      </c>
      <c r="W205" s="386">
        <v>2422</v>
      </c>
      <c r="Y205" s="381" t="s">
        <v>3237</v>
      </c>
      <c r="Z205" s="381">
        <f>+'[35]Định mức chi TX 2022'!$G$163</f>
        <v>215162</v>
      </c>
      <c r="AA205" s="381">
        <f>+'Phụ lục số 8.1'!F14</f>
        <v>148700</v>
      </c>
      <c r="AB205" s="426">
        <f>+AA107+AA113</f>
        <v>13652.513398000039</v>
      </c>
      <c r="AC205" s="2634">
        <f t="shared" si="62"/>
        <v>9.6581999863242507E-2</v>
      </c>
      <c r="AD205" s="667">
        <f>+Z205-AA205</f>
        <v>66462</v>
      </c>
      <c r="AE205" s="5199">
        <f>+'Phụ lục số 8.1'!H70</f>
        <v>62511.59</v>
      </c>
      <c r="AF205" s="667">
        <f>+AD205-AE205</f>
        <v>3950.4100000000035</v>
      </c>
      <c r="AH205" s="729">
        <f>+AB205/AH207</f>
        <v>5.9613406826989374E-2</v>
      </c>
      <c r="AI205" s="5444">
        <f t="shared" si="63"/>
        <v>2211.8968153680139</v>
      </c>
    </row>
    <row r="206" spans="3:40" hidden="1">
      <c r="C206" s="426">
        <f>+'Phụ lục số 5'!AC112</f>
        <v>13427.738688122938</v>
      </c>
      <c r="P206" s="5112">
        <v>16235.8</v>
      </c>
      <c r="Q206" s="2634">
        <f t="shared" si="59"/>
        <v>0.11335733933333043</v>
      </c>
      <c r="R206" s="2634">
        <f t="shared" si="60"/>
        <v>5.8631932879028625E-2</v>
      </c>
      <c r="S206" s="5445">
        <f>+ROUND(Q206*$U$207,0)</f>
        <v>2596</v>
      </c>
      <c r="U206" s="5444">
        <f>+C206*R206</f>
        <v>787.29427347915998</v>
      </c>
      <c r="V206" s="5446">
        <v>3170.5613153057834</v>
      </c>
      <c r="W206" s="386">
        <v>3096</v>
      </c>
      <c r="AB206" s="426">
        <f>+AC112+AC113</f>
        <v>16054.8</v>
      </c>
      <c r="AC206" s="2634">
        <f t="shared" si="62"/>
        <v>0.11357650025317201</v>
      </c>
      <c r="AE206" s="5199">
        <f>+AD205-AE205</f>
        <v>3950.4100000000035</v>
      </c>
      <c r="AH206" s="729">
        <f>+AB206/AH207</f>
        <v>7.0102939731679886E-2</v>
      </c>
      <c r="AI206" s="5444">
        <f t="shared" si="63"/>
        <v>2601.100614673082</v>
      </c>
    </row>
    <row r="207" spans="3:40" hidden="1">
      <c r="C207" s="660">
        <f>SUM(C203:C206)</f>
        <v>118454.95639799992</v>
      </c>
      <c r="P207" s="5444">
        <v>117275.20639799997</v>
      </c>
      <c r="Q207" s="5443">
        <f>SUM(Q203:Q206)</f>
        <v>1</v>
      </c>
      <c r="R207" s="685">
        <f>+'Phụ lục số 1'!T117</f>
        <v>229017.5</v>
      </c>
      <c r="S207" s="5443">
        <f>+U207/C207</f>
        <v>0.19333720340963875</v>
      </c>
      <c r="U207" s="5444">
        <f>+R207*10%</f>
        <v>22901.75</v>
      </c>
      <c r="AB207" s="685">
        <f>SUM(AB203:AB206)</f>
        <v>141356.70639799992</v>
      </c>
      <c r="AC207" s="5443">
        <f>SUM(AC203:AC206)</f>
        <v>0.99999999999999989</v>
      </c>
      <c r="AH207" s="685">
        <f>+R207</f>
        <v>229017.5</v>
      </c>
      <c r="AI207" s="5445">
        <f>+U207</f>
        <v>22901.75</v>
      </c>
    </row>
    <row r="208" spans="3:40" hidden="1">
      <c r="U208" s="5445">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11" t="s">
        <v>1777</v>
      </c>
      <c r="B1" s="6499"/>
      <c r="C1" s="6499"/>
      <c r="D1" s="6499"/>
      <c r="E1" s="6499"/>
    </row>
    <row r="2" spans="1:7">
      <c r="A2" s="6514" t="str">
        <f>+'Phụ lục số 5'!A2:AJ2</f>
        <v>(Kèm theo Báo cáo số     462/BC-UBND ngày 22 tháng 11 năm 2024 của Ủy ban nhân dân tỉnh Đồng Tháp)</v>
      </c>
      <c r="B2" s="6500"/>
      <c r="C2" s="6500"/>
      <c r="D2" s="6500"/>
      <c r="E2" s="6500"/>
    </row>
    <row r="3" spans="1:7" ht="18.600000000000001" thickBot="1">
      <c r="E3" s="2565" t="s">
        <v>638</v>
      </c>
    </row>
    <row r="4" spans="1:7" s="431" customFormat="1" thickTop="1">
      <c r="A4" s="6569" t="s">
        <v>247</v>
      </c>
      <c r="B4" s="6521" t="s">
        <v>1123</v>
      </c>
      <c r="C4" s="6521" t="s">
        <v>1455</v>
      </c>
      <c r="D4" s="6521" t="s">
        <v>998</v>
      </c>
      <c r="E4" s="6578"/>
    </row>
    <row r="5" spans="1:7" s="431" customFormat="1" ht="34.799999999999997">
      <c r="A5" s="6570"/>
      <c r="B5" s="6046"/>
      <c r="C5" s="6046"/>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68"/>
      <c r="D13" s="4768"/>
      <c r="E13" s="4769"/>
    </row>
    <row r="14" spans="1:7" ht="36" hidden="1">
      <c r="A14" s="2582" t="s">
        <v>1629</v>
      </c>
      <c r="B14" s="2583" t="s">
        <v>1630</v>
      </c>
      <c r="C14" s="4770">
        <f>D14+E14</f>
        <v>1504695</v>
      </c>
      <c r="D14" s="4770">
        <v>1504695</v>
      </c>
      <c r="E14" s="4771"/>
    </row>
    <row r="15" spans="1:7" ht="36" hidden="1">
      <c r="A15" s="2579"/>
      <c r="B15" s="2580" t="s">
        <v>1631</v>
      </c>
      <c r="C15" s="4772">
        <f t="shared" ref="C15:C17" si="0">D15+E15</f>
        <v>0</v>
      </c>
      <c r="D15" s="4773"/>
      <c r="E15" s="4771"/>
    </row>
    <row r="16" spans="1:7" hidden="1">
      <c r="A16" s="2582" t="s">
        <v>1632</v>
      </c>
      <c r="B16" s="2583" t="s">
        <v>1633</v>
      </c>
      <c r="C16" s="4770">
        <f t="shared" si="0"/>
        <v>894560</v>
      </c>
      <c r="D16" s="4770">
        <v>894560</v>
      </c>
      <c r="E16" s="4774"/>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3115</v>
      </c>
      <c r="C28" s="4762">
        <f t="shared" ref="C28:D28" si="2">SUM(C29:C37)</f>
        <v>470593</v>
      </c>
      <c r="D28" s="4762">
        <f t="shared" si="2"/>
        <v>0</v>
      </c>
      <c r="E28" s="4761">
        <f>SUM(E29:E37)</f>
        <v>470593</v>
      </c>
    </row>
    <row r="29" spans="1:9" s="596" customFormat="1" ht="36" customHeight="1">
      <c r="A29" s="2604">
        <v>1</v>
      </c>
      <c r="B29" s="2583" t="s">
        <v>3114</v>
      </c>
      <c r="C29" s="2605">
        <f t="shared" ref="C29:C37" si="3">SUM(D29:E29)</f>
        <v>500</v>
      </c>
      <c r="D29" s="2574"/>
      <c r="E29" s="2586">
        <v>500</v>
      </c>
    </row>
    <row r="30" spans="1:9" s="596" customFormat="1" ht="36" customHeight="1">
      <c r="A30" s="2604">
        <v>2</v>
      </c>
      <c r="B30" s="2583" t="s">
        <v>3116</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3117</v>
      </c>
      <c r="C32" s="2605">
        <f t="shared" si="3"/>
        <v>284586</v>
      </c>
      <c r="D32" s="2605"/>
      <c r="E32" s="2606">
        <v>284586</v>
      </c>
    </row>
    <row r="33" spans="1:9" s="2607" customFormat="1" ht="36" customHeight="1">
      <c r="A33" s="2604">
        <v>5</v>
      </c>
      <c r="B33" s="2583" t="s">
        <v>3209</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1717</v>
      </c>
      <c r="I39" s="426">
        <f>I36*15%</f>
        <v>6358873388.5500002</v>
      </c>
    </row>
    <row r="40" spans="1:9">
      <c r="H40" s="667"/>
    </row>
    <row r="42" spans="1:9">
      <c r="E42" s="667"/>
    </row>
    <row r="47" spans="1:9" hidden="1"/>
    <row r="48" spans="1:9">
      <c r="D48" s="381" t="s">
        <v>3244</v>
      </c>
      <c r="E48" s="667">
        <f>+E32</f>
        <v>284586</v>
      </c>
    </row>
    <row r="49" spans="4:5">
      <c r="D49" s="381" t="s">
        <v>3245</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337" t="s">
        <v>1845</v>
      </c>
      <c r="D1" s="6337"/>
      <c r="E1" s="6337"/>
      <c r="F1" s="6337"/>
      <c r="G1" s="6337"/>
      <c r="H1" s="6337"/>
      <c r="I1" s="6337"/>
      <c r="J1" s="6337"/>
      <c r="K1" s="6337"/>
      <c r="L1" s="6337"/>
      <c r="M1" s="6337"/>
      <c r="N1" s="6337"/>
      <c r="O1" s="6337"/>
      <c r="P1" s="6337"/>
      <c r="Q1" s="6337"/>
      <c r="R1" s="6337"/>
      <c r="S1" s="6337"/>
      <c r="T1" s="6337"/>
      <c r="U1" s="6337"/>
      <c r="V1" s="6337"/>
      <c r="W1" s="6337"/>
      <c r="X1" s="6337" t="str">
        <f>+C1</f>
        <v>DỰ TOÁN THU NSNN NĂM 2025 TRÊN ĐỊA BÀN HUYỆN, THÀNH PHỐ</v>
      </c>
      <c r="Y1" s="6337"/>
      <c r="Z1" s="6337"/>
      <c r="AA1" s="6337"/>
      <c r="AB1" s="6337"/>
      <c r="AC1" s="6337"/>
      <c r="AD1" s="6337"/>
      <c r="AE1" s="6337"/>
      <c r="AF1" s="6337"/>
      <c r="AG1" s="6337"/>
      <c r="AH1" s="6337"/>
      <c r="AI1" s="6337"/>
      <c r="AJ1" s="6337"/>
      <c r="AK1" s="6337"/>
      <c r="AL1" s="6337"/>
      <c r="AM1" s="6337"/>
      <c r="AN1" s="6337"/>
      <c r="AO1" s="6337"/>
    </row>
    <row r="2" spans="1:41">
      <c r="A2" s="688"/>
      <c r="B2" s="688"/>
      <c r="C2" s="6327" t="s">
        <v>3278</v>
      </c>
      <c r="D2" s="6327"/>
      <c r="E2" s="6327"/>
      <c r="F2" s="6327"/>
      <c r="G2" s="6327"/>
      <c r="H2" s="6327"/>
      <c r="I2" s="6327"/>
      <c r="J2" s="6327"/>
      <c r="K2" s="6327"/>
      <c r="L2" s="6327"/>
      <c r="M2" s="6327"/>
      <c r="N2" s="6327"/>
      <c r="O2" s="6327"/>
      <c r="P2" s="6327"/>
      <c r="Q2" s="6327"/>
      <c r="R2" s="6327"/>
      <c r="S2" s="6327"/>
      <c r="T2" s="6327"/>
      <c r="U2" s="6327"/>
      <c r="V2" s="6327"/>
      <c r="W2" s="6327"/>
      <c r="X2" s="6327" t="str">
        <f>+C2</f>
        <v>(Kèm theo Báo cáo số   462 /BC-UBND ngày   22   tháng 11 năm 2024 của Ủy ban nhân dân tỉnh Đồng Tháp)</v>
      </c>
      <c r="Y2" s="6327"/>
      <c r="Z2" s="6327"/>
      <c r="AA2" s="6327"/>
      <c r="AB2" s="6327"/>
      <c r="AC2" s="6327"/>
      <c r="AD2" s="6327"/>
      <c r="AE2" s="6327"/>
      <c r="AF2" s="6327"/>
      <c r="AG2" s="6327"/>
      <c r="AH2" s="6327"/>
      <c r="AI2" s="6327"/>
      <c r="AJ2" s="6327"/>
      <c r="AK2" s="6327"/>
      <c r="AL2" s="6327"/>
      <c r="AM2" s="6327"/>
      <c r="AN2" s="6327"/>
      <c r="AO2" s="6327"/>
    </row>
    <row r="3" spans="1:41">
      <c r="D3" s="689"/>
      <c r="E3" s="689"/>
      <c r="F3" s="435"/>
      <c r="T3" s="685"/>
    </row>
    <row r="4" spans="1:41" ht="18.600000000000001" thickBot="1">
      <c r="D4" s="689"/>
      <c r="E4" s="689"/>
      <c r="F4" s="435"/>
      <c r="T4" s="685"/>
      <c r="U4" s="6307" t="s">
        <v>246</v>
      </c>
      <c r="V4" s="6307"/>
      <c r="W4" s="6307"/>
      <c r="AL4" s="685"/>
      <c r="AM4" s="6337" t="s">
        <v>246</v>
      </c>
      <c r="AN4" s="6337"/>
      <c r="AO4" s="6337"/>
    </row>
    <row r="5" spans="1:41" ht="24.75" customHeight="1" thickTop="1">
      <c r="A5" s="6629" t="s">
        <v>247</v>
      </c>
      <c r="B5" s="6631" t="s">
        <v>767</v>
      </c>
      <c r="C5" s="6633" t="s">
        <v>651</v>
      </c>
      <c r="D5" s="6633"/>
      <c r="E5" s="6633"/>
      <c r="F5" s="6627" t="s">
        <v>768</v>
      </c>
      <c r="G5" s="6627"/>
      <c r="H5" s="6627"/>
      <c r="I5" s="6627" t="s">
        <v>769</v>
      </c>
      <c r="J5" s="6627"/>
      <c r="K5" s="6627"/>
      <c r="L5" s="6627" t="s">
        <v>770</v>
      </c>
      <c r="M5" s="6627"/>
      <c r="N5" s="6627"/>
      <c r="O5" s="6627" t="s">
        <v>771</v>
      </c>
      <c r="P5" s="6627"/>
      <c r="Q5" s="6627"/>
      <c r="R5" s="6627" t="s">
        <v>772</v>
      </c>
      <c r="S5" s="6627"/>
      <c r="T5" s="6627"/>
      <c r="U5" s="6627" t="s">
        <v>773</v>
      </c>
      <c r="V5" s="6627"/>
      <c r="W5" s="6627"/>
      <c r="X5" s="6627" t="s">
        <v>774</v>
      </c>
      <c r="Y5" s="6627"/>
      <c r="Z5" s="6627"/>
      <c r="AA5" s="6627" t="s">
        <v>775</v>
      </c>
      <c r="AB5" s="6627"/>
      <c r="AC5" s="6627"/>
      <c r="AD5" s="6627" t="s">
        <v>776</v>
      </c>
      <c r="AE5" s="6627"/>
      <c r="AF5" s="6627"/>
      <c r="AG5" s="6627" t="s">
        <v>777</v>
      </c>
      <c r="AH5" s="6627"/>
      <c r="AI5" s="6627"/>
      <c r="AJ5" s="6627" t="s">
        <v>778</v>
      </c>
      <c r="AK5" s="6627"/>
      <c r="AL5" s="6627"/>
      <c r="AM5" s="6627" t="s">
        <v>779</v>
      </c>
      <c r="AN5" s="6627"/>
      <c r="AO5" s="6628"/>
    </row>
    <row r="6" spans="1:41" s="692" customFormat="1" ht="27.75" customHeight="1">
      <c r="A6" s="6630"/>
      <c r="B6" s="6632"/>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32" t="s">
        <v>782</v>
      </c>
    </row>
    <row r="7" spans="1:41" s="696" customFormat="1">
      <c r="A7" s="5023"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33">
        <f>SUM(AO9,AO15,AO18,AO19,AO20,AO21,AO25,AO28,AO31,AO35)</f>
        <v>220610</v>
      </c>
    </row>
    <row r="8" spans="1:41" s="699" customFormat="1">
      <c r="A8" s="5025"/>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34">
        <f t="shared" si="0"/>
        <v>130610</v>
      </c>
    </row>
    <row r="9" spans="1:41" s="696" customFormat="1">
      <c r="A9" s="5027">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35">
        <f>SUM(AO10:AO14)</f>
        <v>65710</v>
      </c>
    </row>
    <row r="10" spans="1:41">
      <c r="A10" s="5029" t="s">
        <v>29</v>
      </c>
      <c r="B10" s="704" t="s">
        <v>786</v>
      </c>
      <c r="C10" s="705">
        <f>SUM(F10,L10,O10,R10,U10,X10,AA10,AD10,AG10,AJ10,AM10,I10)</f>
        <v>757000</v>
      </c>
      <c r="D10" s="705">
        <f t="shared" ref="D10:D20" si="1">IF(E10=0,"",E10/C10*100)</f>
        <v>100</v>
      </c>
      <c r="E10" s="705">
        <f t="shared" ref="E10:E20" si="2">SUM(H10,N10,Q10,T10,W10,Z10,AC10,AF10,AI10,AL10,AO10,K10)</f>
        <v>757000</v>
      </c>
      <c r="F10" s="5097">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36">
        <f t="shared" ref="AO10:AO20" si="14">AM10*AN10/100</f>
        <v>52010</v>
      </c>
    </row>
    <row r="11" spans="1:41">
      <c r="A11" s="5029" t="s">
        <v>29</v>
      </c>
      <c r="B11" s="704" t="s">
        <v>787</v>
      </c>
      <c r="C11" s="705">
        <f t="shared" ref="C11:C20" si="15">SUM(F11,L11,O11,R11,U11,X11,AA11,AD11,AG11,AJ11,AM11,I11)</f>
        <v>720000</v>
      </c>
      <c r="D11" s="705">
        <f t="shared" si="1"/>
        <v>100</v>
      </c>
      <c r="E11" s="705">
        <f t="shared" si="2"/>
        <v>720000</v>
      </c>
      <c r="F11" s="5097">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36">
        <f t="shared" si="14"/>
        <v>13700</v>
      </c>
    </row>
    <row r="12" spans="1:41">
      <c r="A12" s="5029" t="s">
        <v>29</v>
      </c>
      <c r="B12" s="704" t="s">
        <v>788</v>
      </c>
      <c r="C12" s="705">
        <f t="shared" si="15"/>
        <v>28650</v>
      </c>
      <c r="D12" s="705" t="str">
        <f t="shared" si="1"/>
        <v/>
      </c>
      <c r="E12" s="705">
        <f t="shared" si="2"/>
        <v>0</v>
      </c>
      <c r="F12" s="5097">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36">
        <f t="shared" si="14"/>
        <v>0</v>
      </c>
    </row>
    <row r="13" spans="1:41">
      <c r="A13" s="5029" t="s">
        <v>29</v>
      </c>
      <c r="B13" s="704" t="s">
        <v>10</v>
      </c>
      <c r="C13" s="705">
        <f t="shared" si="15"/>
        <v>44350</v>
      </c>
      <c r="D13" s="705" t="str">
        <f t="shared" si="1"/>
        <v/>
      </c>
      <c r="E13" s="705">
        <f t="shared" si="2"/>
        <v>0</v>
      </c>
      <c r="F13" s="5097">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36">
        <f t="shared" si="14"/>
        <v>0</v>
      </c>
    </row>
    <row r="14" spans="1:41" hidden="1">
      <c r="A14" s="5029" t="s">
        <v>29</v>
      </c>
      <c r="B14" s="704" t="s">
        <v>789</v>
      </c>
      <c r="C14" s="705">
        <f t="shared" si="15"/>
        <v>0</v>
      </c>
      <c r="D14" s="705"/>
      <c r="E14" s="705">
        <f t="shared" si="2"/>
        <v>0</v>
      </c>
      <c r="F14" s="4767">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36">
        <f t="shared" si="14"/>
        <v>0</v>
      </c>
    </row>
    <row r="15" spans="1:41" s="708" customFormat="1">
      <c r="A15" s="5027">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35">
        <f>SUM(AO16:AO17)</f>
        <v>22000</v>
      </c>
    </row>
    <row r="16" spans="1:41" s="708" customFormat="1" hidden="1">
      <c r="A16" s="5031"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35"/>
    </row>
    <row r="17" spans="1:41" s="714" customFormat="1" hidden="1">
      <c r="A17" s="5033"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37">
        <f>AM17/AN17*100</f>
        <v>22000</v>
      </c>
    </row>
    <row r="18" spans="1:41" s="696" customFormat="1">
      <c r="A18" s="5027">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35">
        <f t="shared" si="14"/>
        <v>22000</v>
      </c>
    </row>
    <row r="19" spans="1:41" s="696" customFormat="1">
      <c r="A19" s="5027">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35">
        <f t="shared" si="14"/>
        <v>0</v>
      </c>
    </row>
    <row r="20" spans="1:41" s="696" customFormat="1">
      <c r="A20" s="5027">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35">
        <f t="shared" si="14"/>
        <v>1000</v>
      </c>
    </row>
    <row r="21" spans="1:41" s="696" customFormat="1">
      <c r="A21" s="5027">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35">
        <f>SUM(AO22:AO24)</f>
        <v>4250</v>
      </c>
    </row>
    <row r="22" spans="1:41" hidden="1">
      <c r="A22" s="5034"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36">
        <f>AM22*AN22/100</f>
        <v>0</v>
      </c>
    </row>
    <row r="23" spans="1:41" hidden="1">
      <c r="A23" s="5034"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36">
        <f>AM23*AN23/100</f>
        <v>0</v>
      </c>
    </row>
    <row r="24" spans="1:41" hidden="1">
      <c r="A24" s="5034"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36">
        <f>AM24*AN24/100</f>
        <v>4250</v>
      </c>
    </row>
    <row r="25" spans="1:41" s="696" customFormat="1">
      <c r="A25" s="5027">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35">
        <f>SUM(AO26:AO27)</f>
        <v>3600</v>
      </c>
    </row>
    <row r="26" spans="1:41" s="679" customFormat="1" hidden="1">
      <c r="A26" s="5938" t="s">
        <v>29</v>
      </c>
      <c r="B26" s="1929" t="s">
        <v>790</v>
      </c>
      <c r="C26" s="5097">
        <f>SUM(F26,L26,O26,R26,U26,X26,AA26,AD26,AG26,AJ26,AM26,I26)</f>
        <v>0</v>
      </c>
      <c r="D26" s="5097" t="str">
        <f>IF(E26=0,"",E26/C26*100)</f>
        <v/>
      </c>
      <c r="E26" s="5097">
        <f>SUM(H26,N26,Q26,T26,W26,Z26,AC26,AF26,AI26,AL26,AO26,K26)</f>
        <v>0</v>
      </c>
      <c r="F26" s="5097">
        <f>+'Phụ lục số 7.1'!U28</f>
        <v>0</v>
      </c>
      <c r="G26" s="5098">
        <v>0</v>
      </c>
      <c r="H26" s="5097">
        <f t="shared" si="3"/>
        <v>0</v>
      </c>
      <c r="I26" s="5097">
        <f>+'Phụ lục số 7.1'!AG28</f>
        <v>0</v>
      </c>
      <c r="J26" s="5097">
        <v>0</v>
      </c>
      <c r="K26" s="5097">
        <f>I26*J26/100</f>
        <v>0</v>
      </c>
      <c r="L26" s="5097">
        <f>+'Phụ lục số 7.1'!AS28</f>
        <v>0</v>
      </c>
      <c r="M26" s="5097">
        <v>0</v>
      </c>
      <c r="N26" s="5097">
        <f>L26*M26/100</f>
        <v>0</v>
      </c>
      <c r="O26" s="5097">
        <f>+'Phụ lục số 7.1'!BE28</f>
        <v>0</v>
      </c>
      <c r="P26" s="5097">
        <v>0</v>
      </c>
      <c r="Q26" s="5097">
        <f>O26*P26/100</f>
        <v>0</v>
      </c>
      <c r="R26" s="5097">
        <f>+'Phụ lục số 7.1'!BQ28</f>
        <v>0</v>
      </c>
      <c r="S26" s="5097"/>
      <c r="T26" s="5097"/>
      <c r="U26" s="5097">
        <f>+'Phụ lục số 7.1'!CC28</f>
        <v>0</v>
      </c>
      <c r="V26" s="5097"/>
      <c r="W26" s="5097"/>
      <c r="X26" s="5097">
        <f>+'Phụ lục số 7.1'!CO28</f>
        <v>0</v>
      </c>
      <c r="Y26" s="5097"/>
      <c r="Z26" s="5097"/>
      <c r="AA26" s="5097">
        <f>+'Phụ lục số 7.1'!DA28</f>
        <v>0</v>
      </c>
      <c r="AB26" s="5097"/>
      <c r="AC26" s="5097"/>
      <c r="AD26" s="5097">
        <f>+'Phụ lục số 7.1'!DM28</f>
        <v>0</v>
      </c>
      <c r="AE26" s="5097">
        <v>0</v>
      </c>
      <c r="AF26" s="5097">
        <f>AD26*AE26/100</f>
        <v>0</v>
      </c>
      <c r="AG26" s="5097">
        <f>+'Phụ lục số 7.1'!DY28</f>
        <v>0</v>
      </c>
      <c r="AH26" s="5097">
        <v>0</v>
      </c>
      <c r="AI26" s="5097">
        <f>AG26*AH26/100</f>
        <v>0</v>
      </c>
      <c r="AJ26" s="5097">
        <f>+'Phụ lục số 7.1'!EK28</f>
        <v>0</v>
      </c>
      <c r="AK26" s="5097">
        <v>0</v>
      </c>
      <c r="AL26" s="5097">
        <f>AJ26*AK26/100</f>
        <v>0</v>
      </c>
      <c r="AM26" s="5097">
        <f>+'Phụ lục số 7.1'!EW28</f>
        <v>0</v>
      </c>
      <c r="AN26" s="5097">
        <v>0</v>
      </c>
      <c r="AO26" s="5939">
        <f>AM26*AN26/100</f>
        <v>0</v>
      </c>
    </row>
    <row r="27" spans="1:41" s="679" customFormat="1" hidden="1">
      <c r="A27" s="5938" t="s">
        <v>29</v>
      </c>
      <c r="B27" s="1929" t="s">
        <v>791</v>
      </c>
      <c r="C27" s="5097">
        <f>SUM(F27,L27,O27,R27,U27,X27,AA27,AD27,AG27,AJ27,AM27,I27)</f>
        <v>201000</v>
      </c>
      <c r="D27" s="5097">
        <f>IF(E27=0,"",E27/C27*100)</f>
        <v>90</v>
      </c>
      <c r="E27" s="5097">
        <f>SUM(H27,N27,Q27,T27,W27,Z27,AC27,AF27,AI27,AL27,AO27,K27)</f>
        <v>180900</v>
      </c>
      <c r="F27" s="5097">
        <f>+'Phụ lục số 7.1'!U29</f>
        <v>2000</v>
      </c>
      <c r="G27" s="5098">
        <v>90</v>
      </c>
      <c r="H27" s="5097">
        <f>F27*G27/100</f>
        <v>1800</v>
      </c>
      <c r="I27" s="5097">
        <f>+'Phụ lục số 7.1'!AG29</f>
        <v>6000</v>
      </c>
      <c r="J27" s="5099">
        <f>G27</f>
        <v>90</v>
      </c>
      <c r="K27" s="5097">
        <f>I27*J27/100</f>
        <v>5400</v>
      </c>
      <c r="L27" s="5097">
        <f>+'Phụ lục số 7.1'!AS29</f>
        <v>1000</v>
      </c>
      <c r="M27" s="5100">
        <f>J27</f>
        <v>90</v>
      </c>
      <c r="N27" s="5097">
        <f>L27*M27/100</f>
        <v>900</v>
      </c>
      <c r="O27" s="5097">
        <f>+'Phụ lục số 7.1'!BE29</f>
        <v>2000</v>
      </c>
      <c r="P27" s="5100">
        <f>M27</f>
        <v>90</v>
      </c>
      <c r="Q27" s="5097">
        <f>O27*P27/100</f>
        <v>1800</v>
      </c>
      <c r="R27" s="5097">
        <f>+'Phụ lục số 7.1'!BQ29</f>
        <v>10000</v>
      </c>
      <c r="S27" s="5100">
        <f>P27</f>
        <v>90</v>
      </c>
      <c r="T27" s="5097">
        <f>R27*S27/100</f>
        <v>9000</v>
      </c>
      <c r="U27" s="5097">
        <f>+'Phụ lục số 7.1'!CC29</f>
        <v>145000</v>
      </c>
      <c r="V27" s="5100">
        <f>S27</f>
        <v>90</v>
      </c>
      <c r="W27" s="5097">
        <f>U27*V27/100</f>
        <v>130500</v>
      </c>
      <c r="X27" s="5097">
        <f>+'Phụ lục số 7.1'!CO29</f>
        <v>4500</v>
      </c>
      <c r="Y27" s="5100">
        <f>V27</f>
        <v>90</v>
      </c>
      <c r="Z27" s="5097">
        <f>X27*Y27/100</f>
        <v>4050</v>
      </c>
      <c r="AA27" s="5097">
        <f>+'Phụ lục số 7.1'!DA29</f>
        <v>2500</v>
      </c>
      <c r="AB27" s="5100">
        <f>Y27</f>
        <v>90</v>
      </c>
      <c r="AC27" s="5097">
        <f>AA27*AB27/100</f>
        <v>2250</v>
      </c>
      <c r="AD27" s="5097">
        <f>+'Phụ lục số 7.1'!DM29</f>
        <v>5000</v>
      </c>
      <c r="AE27" s="5100">
        <f>AB27</f>
        <v>90</v>
      </c>
      <c r="AF27" s="5097">
        <f>AD27*AE27/100</f>
        <v>4500</v>
      </c>
      <c r="AG27" s="5097">
        <f>+'Phụ lục số 7.1'!DY29</f>
        <v>2000</v>
      </c>
      <c r="AH27" s="5100">
        <f>AE27</f>
        <v>90</v>
      </c>
      <c r="AI27" s="5097">
        <f>AG27*AH27/100</f>
        <v>1800</v>
      </c>
      <c r="AJ27" s="5097">
        <f>+'Phụ lục số 7.1'!EK29</f>
        <v>17000</v>
      </c>
      <c r="AK27" s="5100">
        <f>AH27</f>
        <v>90</v>
      </c>
      <c r="AL27" s="5097">
        <f>AJ27*AK27/100</f>
        <v>15300</v>
      </c>
      <c r="AM27" s="5097">
        <f>+'Phụ lục số 7.1'!EW29</f>
        <v>4000</v>
      </c>
      <c r="AN27" s="5100">
        <f>AK27</f>
        <v>90</v>
      </c>
      <c r="AO27" s="5939">
        <f>AM27*AN27/100</f>
        <v>3600</v>
      </c>
    </row>
    <row r="28" spans="1:41" s="5102" customFormat="1">
      <c r="A28" s="5940">
        <v>7</v>
      </c>
      <c r="B28" s="2741" t="s">
        <v>797</v>
      </c>
      <c r="C28" s="4832">
        <f>SUM(C29:C30)</f>
        <v>1600000</v>
      </c>
      <c r="D28" s="4832"/>
      <c r="E28" s="4832">
        <f>SUM(E29:E30)</f>
        <v>1093500</v>
      </c>
      <c r="F28" s="4832">
        <f>SUM(F29:F30)</f>
        <v>60000</v>
      </c>
      <c r="G28" s="5101"/>
      <c r="H28" s="4832">
        <f>SUM(H29:H30)</f>
        <v>54000</v>
      </c>
      <c r="I28" s="4832">
        <f>SUM(I29:I30)</f>
        <v>290000</v>
      </c>
      <c r="J28" s="4832"/>
      <c r="K28" s="4832">
        <f>SUM(K29:K30)</f>
        <v>261000</v>
      </c>
      <c r="L28" s="4832">
        <f>SUM(L29:L30)</f>
        <v>30000</v>
      </c>
      <c r="M28" s="4832"/>
      <c r="N28" s="4832">
        <f>SUM(N29:N30)</f>
        <v>27000</v>
      </c>
      <c r="O28" s="4832">
        <f>SUM(O29:O30)</f>
        <v>60000</v>
      </c>
      <c r="P28" s="4832"/>
      <c r="Q28" s="4832">
        <f>SUM(Q29:Q30)</f>
        <v>54000</v>
      </c>
      <c r="R28" s="4832">
        <f>SUM(R29:R30)</f>
        <v>50000</v>
      </c>
      <c r="S28" s="4832"/>
      <c r="T28" s="4832">
        <f>SUM(T29:T30)</f>
        <v>45000</v>
      </c>
      <c r="U28" s="4832">
        <f>SUM(U29:U30)</f>
        <v>310000</v>
      </c>
      <c r="V28" s="4832"/>
      <c r="W28" s="4832">
        <f>SUM(W29:W30)</f>
        <v>144000</v>
      </c>
      <c r="X28" s="4832">
        <f>SUM(X29:X30)</f>
        <v>75000</v>
      </c>
      <c r="Y28" s="4832"/>
      <c r="Z28" s="4832">
        <f>SUM(Z29:Z30)</f>
        <v>67500</v>
      </c>
      <c r="AA28" s="4832">
        <f>SUM(AA29:AA30)</f>
        <v>100000</v>
      </c>
      <c r="AB28" s="4832"/>
      <c r="AC28" s="4832">
        <f>SUM(AC29:AC30)</f>
        <v>90000</v>
      </c>
      <c r="AD28" s="4832">
        <f>SUM(AD29:AD30)</f>
        <v>60000</v>
      </c>
      <c r="AE28" s="4832"/>
      <c r="AF28" s="4832">
        <f>SUM(AF29:AF30)</f>
        <v>54000</v>
      </c>
      <c r="AG28" s="4832">
        <f>SUM(AG29:AG30)</f>
        <v>70000</v>
      </c>
      <c r="AH28" s="4832"/>
      <c r="AI28" s="4832">
        <f>SUM(AI29:AI30)</f>
        <v>63000</v>
      </c>
      <c r="AJ28" s="4832">
        <f>SUM(AJ29:AJ30)</f>
        <v>395000</v>
      </c>
      <c r="AK28" s="4832"/>
      <c r="AL28" s="4832">
        <f>SUM(AL29:AL30)</f>
        <v>144000</v>
      </c>
      <c r="AM28" s="4832">
        <f>SUM(AM29:AM30)</f>
        <v>100000</v>
      </c>
      <c r="AN28" s="4832"/>
      <c r="AO28" s="5941">
        <f>SUM(AO29:AO30)</f>
        <v>90000</v>
      </c>
    </row>
    <row r="29" spans="1:41" s="679" customFormat="1" hidden="1">
      <c r="A29" s="5938" t="s">
        <v>29</v>
      </c>
      <c r="B29" s="1929" t="s">
        <v>790</v>
      </c>
      <c r="C29" s="5097">
        <f>SUM(F29,L29,O29,R29,U29,X29,AA29,AD29,AG29,AJ29,AM29,I29)</f>
        <v>385000</v>
      </c>
      <c r="D29" s="5097" t="str">
        <f t="shared" ref="D29:D34" si="16">IF(E29=0,"",E29/C29*100)</f>
        <v/>
      </c>
      <c r="E29" s="5097">
        <f>SUM(H29,N29,Q29,T29,W29,Z29,AC29,AF29,AI29,AL29,AO29,K29)</f>
        <v>0</v>
      </c>
      <c r="F29" s="5097">
        <f>+'Phụ lục số 7.1'!U31</f>
        <v>0</v>
      </c>
      <c r="G29" s="5098">
        <v>0</v>
      </c>
      <c r="H29" s="5097">
        <f t="shared" si="3"/>
        <v>0</v>
      </c>
      <c r="I29" s="5097">
        <f>+'Phụ lục số 7.1'!AG31</f>
        <v>0</v>
      </c>
      <c r="J29" s="5097">
        <v>0</v>
      </c>
      <c r="K29" s="5097">
        <f>I29*J29/100</f>
        <v>0</v>
      </c>
      <c r="L29" s="5097">
        <f>+'Phụ lục số 7.1'!AS31</f>
        <v>0</v>
      </c>
      <c r="M29" s="5097">
        <v>0</v>
      </c>
      <c r="N29" s="5097">
        <f>L29*M29/100</f>
        <v>0</v>
      </c>
      <c r="O29" s="5097">
        <f>+'Phụ lục số 7.1'!BE31</f>
        <v>0</v>
      </c>
      <c r="P29" s="5097">
        <v>0</v>
      </c>
      <c r="Q29" s="5097">
        <f>O29*P29/100</f>
        <v>0</v>
      </c>
      <c r="R29" s="5097">
        <f>+'Phụ lục số 7.1'!BQ31</f>
        <v>0</v>
      </c>
      <c r="S29" s="5097">
        <v>0</v>
      </c>
      <c r="T29" s="5097">
        <f>R29*S29/100</f>
        <v>0</v>
      </c>
      <c r="U29" s="5097">
        <f>+'Phụ lục số 7.1'!CC31</f>
        <v>150000</v>
      </c>
      <c r="V29" s="5097">
        <v>0</v>
      </c>
      <c r="W29" s="5097">
        <f>U29*V29/100</f>
        <v>0</v>
      </c>
      <c r="X29" s="5097">
        <f>+'Phụ lục số 7.1'!CO31</f>
        <v>0</v>
      </c>
      <c r="Y29" s="5097">
        <v>0</v>
      </c>
      <c r="Z29" s="5097">
        <f>X29*Y29/100</f>
        <v>0</v>
      </c>
      <c r="AA29" s="5097">
        <f>+'Phụ lục số 7.1'!DA31</f>
        <v>0</v>
      </c>
      <c r="AB29" s="5097">
        <v>0</v>
      </c>
      <c r="AC29" s="5097">
        <f>AA29*AB29/100</f>
        <v>0</v>
      </c>
      <c r="AD29" s="5097">
        <f>+'Phụ lục số 7.1'!DM31</f>
        <v>0</v>
      </c>
      <c r="AE29" s="5097">
        <v>0</v>
      </c>
      <c r="AF29" s="5097">
        <f>AD29*AE29/100</f>
        <v>0</v>
      </c>
      <c r="AG29" s="5097">
        <f>+'Phụ lục số 7.1'!DY31</f>
        <v>0</v>
      </c>
      <c r="AH29" s="5097">
        <v>0</v>
      </c>
      <c r="AI29" s="5097">
        <f>AG29*AH29/100</f>
        <v>0</v>
      </c>
      <c r="AJ29" s="5097">
        <f>+'Phụ lục số 7.1'!EK31</f>
        <v>235000</v>
      </c>
      <c r="AK29" s="5097">
        <v>0</v>
      </c>
      <c r="AL29" s="5097">
        <f>AJ29*AK29/100</f>
        <v>0</v>
      </c>
      <c r="AM29" s="5097">
        <f>+'Phụ lục số 7.1'!EW31</f>
        <v>0</v>
      </c>
      <c r="AN29" s="5097">
        <v>0</v>
      </c>
      <c r="AO29" s="5939">
        <f>AM29*AN29/100</f>
        <v>0</v>
      </c>
    </row>
    <row r="30" spans="1:41" s="679" customFormat="1" hidden="1">
      <c r="A30" s="5938" t="s">
        <v>29</v>
      </c>
      <c r="B30" s="1929" t="s">
        <v>791</v>
      </c>
      <c r="C30" s="5097">
        <f>SUM(F30,L30,O30,R30,U30,X30,AA30,AD30,AG30,AJ30,AM30,I30)</f>
        <v>1215000</v>
      </c>
      <c r="D30" s="5097">
        <f t="shared" si="16"/>
        <v>90</v>
      </c>
      <c r="E30" s="5097">
        <f>SUM(H30,N30,Q30,T30,W30,Z30,AC30,AF30,AI30,AL30,AO30,K30)</f>
        <v>1093500</v>
      </c>
      <c r="F30" s="5097">
        <f>+'Phụ lục số 7.1'!U32</f>
        <v>60000</v>
      </c>
      <c r="G30" s="5098">
        <v>90</v>
      </c>
      <c r="H30" s="5097">
        <f>F30*G30/100</f>
        <v>54000</v>
      </c>
      <c r="I30" s="5097">
        <f>+'Phụ lục số 7.1'!AG32</f>
        <v>290000</v>
      </c>
      <c r="J30" s="5099">
        <f>G30</f>
        <v>90</v>
      </c>
      <c r="K30" s="5097">
        <f>I30*J30/100</f>
        <v>261000</v>
      </c>
      <c r="L30" s="5097">
        <f>+'Phụ lục số 7.1'!AS32</f>
        <v>30000</v>
      </c>
      <c r="M30" s="5100">
        <f>J30</f>
        <v>90</v>
      </c>
      <c r="N30" s="5097">
        <f>L30*M30/100</f>
        <v>27000</v>
      </c>
      <c r="O30" s="5097">
        <f>+'Phụ lục số 7.1'!BE32</f>
        <v>60000</v>
      </c>
      <c r="P30" s="5100">
        <f>M30</f>
        <v>90</v>
      </c>
      <c r="Q30" s="5097">
        <f>O30*P30/100</f>
        <v>54000</v>
      </c>
      <c r="R30" s="5097">
        <f>+'Phụ lục số 7.1'!BQ32</f>
        <v>50000</v>
      </c>
      <c r="S30" s="5100">
        <f>P30</f>
        <v>90</v>
      </c>
      <c r="T30" s="5097">
        <f>R30*S30/100</f>
        <v>45000</v>
      </c>
      <c r="U30" s="5097">
        <f>+'Phụ lục số 7.1'!CC32</f>
        <v>160000</v>
      </c>
      <c r="V30" s="5100">
        <f>S30</f>
        <v>90</v>
      </c>
      <c r="W30" s="5097">
        <f>U30*V30/100</f>
        <v>144000</v>
      </c>
      <c r="X30" s="5097">
        <f>+'Phụ lục số 7.1'!CO32</f>
        <v>75000</v>
      </c>
      <c r="Y30" s="5100">
        <f>V30</f>
        <v>90</v>
      </c>
      <c r="Z30" s="5097">
        <f>X30*Y30/100</f>
        <v>67500</v>
      </c>
      <c r="AA30" s="5097">
        <f>+'Phụ lục số 7.1'!DA32</f>
        <v>100000</v>
      </c>
      <c r="AB30" s="5100">
        <f>Y30</f>
        <v>90</v>
      </c>
      <c r="AC30" s="5097">
        <f>AA30*AB30/100</f>
        <v>90000</v>
      </c>
      <c r="AD30" s="5097">
        <f>+'Phụ lục số 7.1'!DM32</f>
        <v>60000</v>
      </c>
      <c r="AE30" s="5100">
        <f>AB30</f>
        <v>90</v>
      </c>
      <c r="AF30" s="5097">
        <f>AD30*AE30/100</f>
        <v>54000</v>
      </c>
      <c r="AG30" s="5097">
        <f>+'Phụ lục số 7.1'!DY32</f>
        <v>70000</v>
      </c>
      <c r="AH30" s="5100">
        <f>AE30</f>
        <v>90</v>
      </c>
      <c r="AI30" s="5097">
        <f>AG30*AH30/100</f>
        <v>63000</v>
      </c>
      <c r="AJ30" s="5097">
        <f>+'Phụ lục số 7.1'!EK32</f>
        <v>160000</v>
      </c>
      <c r="AK30" s="5100">
        <f>AH30</f>
        <v>90</v>
      </c>
      <c r="AL30" s="5097">
        <f>AJ30*AK30/100</f>
        <v>144000</v>
      </c>
      <c r="AM30" s="5097">
        <f>+'Phụ lục số 7.1'!EW32</f>
        <v>100000</v>
      </c>
      <c r="AN30" s="5100">
        <f>AK30</f>
        <v>90</v>
      </c>
      <c r="AO30" s="5939">
        <f>AM30*AN30/100</f>
        <v>90000</v>
      </c>
    </row>
    <row r="31" spans="1:41" s="696" customFormat="1">
      <c r="A31" s="5027">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35">
        <f>SUM(AO32:AO34)</f>
        <v>12000</v>
      </c>
    </row>
    <row r="32" spans="1:41" hidden="1">
      <c r="A32" s="5034"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36">
        <f>AM32*AN32/100</f>
        <v>0</v>
      </c>
    </row>
    <row r="33" spans="1:41" hidden="1">
      <c r="A33" s="5034"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36">
        <f>AM33*AN33/100</f>
        <v>0</v>
      </c>
    </row>
    <row r="34" spans="1:41" hidden="1">
      <c r="A34" s="5034"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36">
        <f>AM34*AN34/100</f>
        <v>12000</v>
      </c>
    </row>
    <row r="35" spans="1:41" s="5104" customFormat="1">
      <c r="A35" s="5940">
        <v>9</v>
      </c>
      <c r="B35" s="2741" t="s">
        <v>31</v>
      </c>
      <c r="C35" s="4832">
        <f t="shared" si="18"/>
        <v>2000</v>
      </c>
      <c r="D35" s="5097">
        <f>IF(E35=0,"",E35/C35*100)</f>
        <v>100</v>
      </c>
      <c r="E35" s="4832">
        <f t="shared" si="17"/>
        <v>2000</v>
      </c>
      <c r="F35" s="5103">
        <f>+'Phụ lục số 7.1'!U37</f>
        <v>150</v>
      </c>
      <c r="G35" s="4832">
        <v>100</v>
      </c>
      <c r="H35" s="4832">
        <f>F35*G35/100</f>
        <v>150</v>
      </c>
      <c r="I35" s="5103">
        <f>+'Phụ lục số 7.1'!AG37</f>
        <v>100</v>
      </c>
      <c r="J35" s="4832">
        <v>100</v>
      </c>
      <c r="K35" s="4832">
        <f>I35*J35/100</f>
        <v>100</v>
      </c>
      <c r="L35" s="5097">
        <f>+'Phụ lục số 7.1'!AS37</f>
        <v>0</v>
      </c>
      <c r="M35" s="4832">
        <v>100</v>
      </c>
      <c r="N35" s="4832">
        <f>L35*M35/100</f>
        <v>0</v>
      </c>
      <c r="O35" s="4832">
        <f>+'Phụ lục số 7.1'!BE37</f>
        <v>0</v>
      </c>
      <c r="P35" s="4832">
        <v>100</v>
      </c>
      <c r="Q35" s="4832">
        <f>O35*P35/100</f>
        <v>0</v>
      </c>
      <c r="R35" s="4832">
        <f>+'Phụ lục số 7.1'!BQ37</f>
        <v>0</v>
      </c>
      <c r="S35" s="4832">
        <v>100</v>
      </c>
      <c r="T35" s="4832">
        <f>R35*S35/100</f>
        <v>0</v>
      </c>
      <c r="U35" s="4832">
        <f>+'Phụ lục số 7.1'!CC37</f>
        <v>200</v>
      </c>
      <c r="V35" s="4832">
        <v>100</v>
      </c>
      <c r="W35" s="4832">
        <f>U35*V35/100</f>
        <v>200</v>
      </c>
      <c r="X35" s="4832">
        <f>+'Phụ lục số 7.1'!CO37</f>
        <v>200</v>
      </c>
      <c r="Y35" s="4832">
        <v>100</v>
      </c>
      <c r="Z35" s="4832">
        <f>X35*Y35/100</f>
        <v>200</v>
      </c>
      <c r="AA35" s="4832">
        <f>+'Phụ lục số 7.1'!DA37</f>
        <v>800</v>
      </c>
      <c r="AB35" s="4832">
        <v>100</v>
      </c>
      <c r="AC35" s="4832">
        <f>AA35*AB35/100</f>
        <v>800</v>
      </c>
      <c r="AD35" s="4832">
        <f>+'Phụ lục số 7.1'!DM37</f>
        <v>0</v>
      </c>
      <c r="AE35" s="4832">
        <v>100</v>
      </c>
      <c r="AF35" s="4832">
        <f>AD35*AE35/100</f>
        <v>0</v>
      </c>
      <c r="AG35" s="4832">
        <f>+'Phụ lục số 7.1'!DY37</f>
        <v>0</v>
      </c>
      <c r="AH35" s="4832">
        <v>100</v>
      </c>
      <c r="AI35" s="4832">
        <f>AG35*AH35/100</f>
        <v>0</v>
      </c>
      <c r="AJ35" s="4832">
        <f>+'Phụ lục số 7.1'!EK37</f>
        <v>500</v>
      </c>
      <c r="AK35" s="4832">
        <v>100</v>
      </c>
      <c r="AL35" s="4832">
        <f>AJ35*AK35/100</f>
        <v>500</v>
      </c>
      <c r="AM35" s="4832">
        <f>+'Phụ lục số 7.1'!EW37</f>
        <v>50</v>
      </c>
      <c r="AN35" s="4832">
        <v>100</v>
      </c>
      <c r="AO35" s="5941">
        <f>AM35*AN35/100</f>
        <v>50</v>
      </c>
    </row>
    <row r="36" spans="1:41" s="5102" customFormat="1">
      <c r="A36" s="5940" t="s">
        <v>33</v>
      </c>
      <c r="B36" s="2741" t="s">
        <v>802</v>
      </c>
      <c r="C36" s="4832">
        <f t="shared" si="18"/>
        <v>7078351.9069999997</v>
      </c>
      <c r="D36" s="5097"/>
      <c r="E36" s="4832">
        <f t="shared" si="17"/>
        <v>7078351.9069999997</v>
      </c>
      <c r="F36" s="4832">
        <f>F37+F39+F38</f>
        <v>620300.99</v>
      </c>
      <c r="G36" s="4832"/>
      <c r="H36" s="4832">
        <f>F36</f>
        <v>620300.99</v>
      </c>
      <c r="I36" s="4832">
        <f>I37+I39+I38</f>
        <v>414420.174</v>
      </c>
      <c r="J36" s="4832"/>
      <c r="K36" s="4832">
        <f>I36</f>
        <v>414420.174</v>
      </c>
      <c r="L36" s="4832">
        <f>L37+L39+L38</f>
        <v>578186.21900000004</v>
      </c>
      <c r="M36" s="4832"/>
      <c r="N36" s="4832">
        <f t="shared" ref="N36:N40" si="19">L36</f>
        <v>578186.21900000004</v>
      </c>
      <c r="O36" s="4832">
        <f>O37+O39+O38</f>
        <v>624717.45200000005</v>
      </c>
      <c r="P36" s="4832"/>
      <c r="Q36" s="4832">
        <f t="shared" ref="Q36:Q40" si="20">O36</f>
        <v>624717.45200000005</v>
      </c>
      <c r="R36" s="4832">
        <f>R37+R39+R38</f>
        <v>751634.22600000002</v>
      </c>
      <c r="S36" s="4832"/>
      <c r="T36" s="4832">
        <f t="shared" ref="T36:T40" si="21">R36</f>
        <v>751634.22600000002</v>
      </c>
      <c r="U36" s="4832">
        <f>U37+U39+U38</f>
        <v>96559.929000000004</v>
      </c>
      <c r="V36" s="4832"/>
      <c r="W36" s="4832">
        <f t="shared" ref="W36:W40" si="22">U36</f>
        <v>96559.929000000004</v>
      </c>
      <c r="X36" s="4832">
        <f>X37+X39+X38</f>
        <v>904084.62100000004</v>
      </c>
      <c r="Y36" s="4832"/>
      <c r="Z36" s="4832">
        <f t="shared" ref="Z36:Z40" si="23">X36</f>
        <v>904084.62100000004</v>
      </c>
      <c r="AA36" s="4832">
        <f>AA37+AA39+AA38</f>
        <v>736843.87899999996</v>
      </c>
      <c r="AB36" s="4832"/>
      <c r="AC36" s="4832">
        <f t="shared" ref="AC36:AC40" si="24">AA36</f>
        <v>736843.87899999996</v>
      </c>
      <c r="AD36" s="4832">
        <f>AD37+AD39+AD38</f>
        <v>750709.82700000005</v>
      </c>
      <c r="AE36" s="4832"/>
      <c r="AF36" s="4832">
        <f t="shared" ref="AF36:AF40" si="25">AD36</f>
        <v>750709.82700000005</v>
      </c>
      <c r="AG36" s="4832">
        <f>AG37+AG39+AG38</f>
        <v>668080.38300000003</v>
      </c>
      <c r="AH36" s="4832"/>
      <c r="AI36" s="4832">
        <f t="shared" ref="AI36:AI40" si="26">AG36</f>
        <v>668080.38300000003</v>
      </c>
      <c r="AJ36" s="4832">
        <f>AJ37+AJ39+AJ38</f>
        <v>304362.73499999999</v>
      </c>
      <c r="AK36" s="4832"/>
      <c r="AL36" s="4832">
        <f t="shared" ref="AL36:AL40" si="27">AJ36</f>
        <v>304362.73499999999</v>
      </c>
      <c r="AM36" s="4832">
        <f>AM37+AM39+AM38</f>
        <v>628451.47200000007</v>
      </c>
      <c r="AN36" s="4832"/>
      <c r="AO36" s="5941">
        <f t="shared" ref="AO36:AO40" si="28">AM36</f>
        <v>628451.47200000007</v>
      </c>
    </row>
    <row r="37" spans="1:41" s="2750" customFormat="1">
      <c r="A37" s="1926">
        <v>1</v>
      </c>
      <c r="B37" s="46" t="s">
        <v>803</v>
      </c>
      <c r="C37" s="4851">
        <f t="shared" si="18"/>
        <v>4430923</v>
      </c>
      <c r="D37" s="4851"/>
      <c r="E37" s="4851">
        <f t="shared" si="17"/>
        <v>4430923</v>
      </c>
      <c r="F37" s="4851">
        <f>'[2]Phụ lục 6.1 Chi'!N11</f>
        <v>413967</v>
      </c>
      <c r="G37" s="4851"/>
      <c r="H37" s="4851">
        <f>F37</f>
        <v>413967</v>
      </c>
      <c r="I37" s="4851">
        <f>'[2]Phụ lục 6.1 Chi'!V11</f>
        <v>225665</v>
      </c>
      <c r="J37" s="4851"/>
      <c r="K37" s="4851">
        <f t="shared" ref="K37" si="29">I37</f>
        <v>225665</v>
      </c>
      <c r="L37" s="4851">
        <f>'[2]Phụ lục 6.1 Chi'!AD11</f>
        <v>391207</v>
      </c>
      <c r="M37" s="4851"/>
      <c r="N37" s="4851">
        <f t="shared" si="19"/>
        <v>391207</v>
      </c>
      <c r="O37" s="4851">
        <f>'[2]Phụ lục 6.1 Chi'!AL11</f>
        <v>388772</v>
      </c>
      <c r="P37" s="4851"/>
      <c r="Q37" s="4851">
        <f t="shared" si="20"/>
        <v>388772</v>
      </c>
      <c r="R37" s="4851">
        <f>'[2]Phụ lục 6.1 Chi'!AT11</f>
        <v>449761</v>
      </c>
      <c r="S37" s="4851"/>
      <c r="T37" s="4851">
        <f t="shared" si="21"/>
        <v>449761</v>
      </c>
      <c r="U37" s="4851">
        <f>'[2]Phụ lục 6.1 Chi'!BB11</f>
        <v>37354</v>
      </c>
      <c r="V37" s="4851"/>
      <c r="W37" s="4851">
        <f t="shared" si="22"/>
        <v>37354</v>
      </c>
      <c r="X37" s="4851">
        <f>'[2]Phụ lục 6.1 Chi'!BJ11</f>
        <v>566422</v>
      </c>
      <c r="Y37" s="4851"/>
      <c r="Z37" s="4851">
        <f t="shared" si="23"/>
        <v>566422</v>
      </c>
      <c r="AA37" s="4851">
        <f>'[2]Phụ lục 6.1 Chi'!BR11</f>
        <v>441700</v>
      </c>
      <c r="AB37" s="4851"/>
      <c r="AC37" s="4851">
        <f t="shared" si="24"/>
        <v>441700</v>
      </c>
      <c r="AD37" s="4851">
        <f>'[2]Phụ lục 6.1 Chi'!BZ11</f>
        <v>470689</v>
      </c>
      <c r="AE37" s="4851"/>
      <c r="AF37" s="4851">
        <f t="shared" si="25"/>
        <v>470689</v>
      </c>
      <c r="AG37" s="4851">
        <f>'[2]Phụ lục 6.1 Chi'!CH11</f>
        <v>440874</v>
      </c>
      <c r="AH37" s="4851"/>
      <c r="AI37" s="4851">
        <f t="shared" si="26"/>
        <v>440874</v>
      </c>
      <c r="AJ37" s="4851">
        <f>'[2]Phụ lục 6.1 Chi'!CP11</f>
        <v>224584</v>
      </c>
      <c r="AK37" s="4851"/>
      <c r="AL37" s="4851">
        <f t="shared" si="27"/>
        <v>224584</v>
      </c>
      <c r="AM37" s="4851">
        <f>'[2]Phụ lục 6.1 Chi'!CX11</f>
        <v>379928</v>
      </c>
      <c r="AN37" s="4851"/>
      <c r="AO37" s="5942">
        <f t="shared" si="28"/>
        <v>379928</v>
      </c>
    </row>
    <row r="38" spans="1:41" s="2750" customFormat="1" ht="42" customHeight="1">
      <c r="A38" s="1926">
        <v>2</v>
      </c>
      <c r="B38" s="1927" t="s">
        <v>3136</v>
      </c>
      <c r="C38" s="4851">
        <f>SUM(F38,L38,O38,R38,U38,X38,AA38,AD38,AG38,AJ38,AM38,I38)</f>
        <v>1681469</v>
      </c>
      <c r="D38" s="4851"/>
      <c r="E38" s="4851">
        <f>SUM(H38,N38,Q38,T38,W38,Z38,AC38,AF38,AI38,AL38,AO38,K38)</f>
        <v>1681469</v>
      </c>
      <c r="F38" s="4851">
        <f>'Phụ lục số 8.1'!P12</f>
        <v>146571</v>
      </c>
      <c r="G38" s="4851"/>
      <c r="H38" s="4851">
        <f>+F38</f>
        <v>146571</v>
      </c>
      <c r="I38" s="4851">
        <f>'Phụ lục số 8.1'!X12</f>
        <v>141419</v>
      </c>
      <c r="J38" s="4851"/>
      <c r="K38" s="4851">
        <f>+I38</f>
        <v>141419</v>
      </c>
      <c r="L38" s="4851">
        <f>'Phụ lục số 8.1'!AF12</f>
        <v>114393</v>
      </c>
      <c r="M38" s="4851"/>
      <c r="N38" s="4851">
        <f>+L38</f>
        <v>114393</v>
      </c>
      <c r="O38" s="4851">
        <f>'Phụ lục số 8.1'!AN12</f>
        <v>152060</v>
      </c>
      <c r="P38" s="4851"/>
      <c r="Q38" s="4851">
        <f>+O38</f>
        <v>152060</v>
      </c>
      <c r="R38" s="4851">
        <f>'Phụ lục số 8.1'!AV12</f>
        <v>204980</v>
      </c>
      <c r="S38" s="4851"/>
      <c r="T38" s="4851">
        <f>+R38</f>
        <v>204980</v>
      </c>
      <c r="U38" s="4851">
        <f>'Phụ lục số 8.1'!BD12</f>
        <v>0</v>
      </c>
      <c r="V38" s="4851"/>
      <c r="W38" s="4851">
        <f>+U38</f>
        <v>0</v>
      </c>
      <c r="X38" s="4851">
        <f>'Phụ lục số 8.1'!BL12</f>
        <v>199350</v>
      </c>
      <c r="Y38" s="4851"/>
      <c r="Z38" s="4851">
        <f>+X38</f>
        <v>199350</v>
      </c>
      <c r="AA38" s="4851">
        <f>'Phụ lục số 8.1'!BT12</f>
        <v>179744</v>
      </c>
      <c r="AB38" s="4851"/>
      <c r="AC38" s="4851">
        <f>+AA38</f>
        <v>179744</v>
      </c>
      <c r="AD38" s="4851">
        <f>'Phụ lục số 8.1'!CB12</f>
        <v>201862</v>
      </c>
      <c r="AE38" s="4851"/>
      <c r="AF38" s="4851">
        <f>+AD38</f>
        <v>201862</v>
      </c>
      <c r="AG38" s="4851">
        <f>'Phụ lục số 8.1'!CJ12</f>
        <v>175043</v>
      </c>
      <c r="AH38" s="4851"/>
      <c r="AI38" s="4851">
        <f>+AG38</f>
        <v>175043</v>
      </c>
      <c r="AJ38" s="4851">
        <f>'Phụ lục số 8.1'!CR12</f>
        <v>0</v>
      </c>
      <c r="AK38" s="4851"/>
      <c r="AL38" s="4851">
        <f>+AJ38</f>
        <v>0</v>
      </c>
      <c r="AM38" s="4851">
        <f>'Phụ lục số 8.1'!CZ12</f>
        <v>166047</v>
      </c>
      <c r="AN38" s="4851"/>
      <c r="AO38" s="5942">
        <f>+AM38</f>
        <v>166047</v>
      </c>
    </row>
    <row r="39" spans="1:41" s="2750" customFormat="1">
      <c r="A39" s="1926">
        <v>3</v>
      </c>
      <c r="B39" s="46" t="s">
        <v>804</v>
      </c>
      <c r="C39" s="4851">
        <f>SUM(F39,L39,O39,R39,U39,X39,AA39,AD39,AG39,AJ39,AM39,I39)</f>
        <v>965959.90700000001</v>
      </c>
      <c r="D39" s="4851"/>
      <c r="E39" s="4851">
        <f>SUM(H39,N39,Q39,T39,W39,Z39,AC39,AF39,AI39,AL39,AO39,K39)</f>
        <v>965959.90700000001</v>
      </c>
      <c r="F39" s="4851">
        <f>'Phụ lục số 8.1'!P13</f>
        <v>59762.99</v>
      </c>
      <c r="G39" s="4851"/>
      <c r="H39" s="4851">
        <f>F39</f>
        <v>59762.99</v>
      </c>
      <c r="I39" s="4851">
        <f>'Phụ lục số 8.1'!X13</f>
        <v>47336.173999999999</v>
      </c>
      <c r="J39" s="4851"/>
      <c r="K39" s="4851">
        <f>I39</f>
        <v>47336.173999999999</v>
      </c>
      <c r="L39" s="4851">
        <f>'Phụ lục số 8.1'!AF13</f>
        <v>72586.218999999997</v>
      </c>
      <c r="M39" s="4851"/>
      <c r="N39" s="4851">
        <f>L39</f>
        <v>72586.218999999997</v>
      </c>
      <c r="O39" s="4851">
        <f>'Phụ lục số 8.1'!AN13</f>
        <v>83885.45199999999</v>
      </c>
      <c r="P39" s="4851"/>
      <c r="Q39" s="4851">
        <f>O39</f>
        <v>83885.45199999999</v>
      </c>
      <c r="R39" s="4851">
        <f>'Phụ lục số 8.1'!AV13</f>
        <v>96893.225999999995</v>
      </c>
      <c r="S39" s="4851"/>
      <c r="T39" s="4851">
        <f>R39</f>
        <v>96893.225999999995</v>
      </c>
      <c r="U39" s="4851">
        <f>'Phụ lục số 8.1'!BD13</f>
        <v>59205.928999999996</v>
      </c>
      <c r="V39" s="4851"/>
      <c r="W39" s="4851">
        <f>U39</f>
        <v>59205.928999999996</v>
      </c>
      <c r="X39" s="4851">
        <f>'Phụ lục số 8.1'!BL13</f>
        <v>138312.62099999998</v>
      </c>
      <c r="Y39" s="4851"/>
      <c r="Z39" s="4851">
        <f>X39</f>
        <v>138312.62099999998</v>
      </c>
      <c r="AA39" s="4851">
        <f>'Phụ lục số 8.1'!BT13</f>
        <v>115399.87899999999</v>
      </c>
      <c r="AB39" s="4851"/>
      <c r="AC39" s="4851">
        <f>AA39</f>
        <v>115399.87899999999</v>
      </c>
      <c r="AD39" s="4851">
        <f>'Phụ lục số 8.1'!CB13</f>
        <v>78158.827000000005</v>
      </c>
      <c r="AE39" s="4851"/>
      <c r="AF39" s="4851">
        <f>AD39</f>
        <v>78158.827000000005</v>
      </c>
      <c r="AG39" s="4851">
        <f>'Phụ lục số 8.1'!CJ13</f>
        <v>52163.383000000002</v>
      </c>
      <c r="AH39" s="4851"/>
      <c r="AI39" s="4851">
        <f>AG39</f>
        <v>52163.383000000002</v>
      </c>
      <c r="AJ39" s="4851">
        <f>'Phụ lục số 8.1'!CR13</f>
        <v>79778.735000000001</v>
      </c>
      <c r="AK39" s="4851"/>
      <c r="AL39" s="4851">
        <f>AJ39</f>
        <v>79778.735000000001</v>
      </c>
      <c r="AM39" s="4851">
        <f>'Phụ lục số 8.1'!CZ13</f>
        <v>82476.472000000009</v>
      </c>
      <c r="AN39" s="4851"/>
      <c r="AO39" s="5942">
        <f>AM39</f>
        <v>82476.472000000009</v>
      </c>
    </row>
    <row r="40" spans="1:41" s="5104" customFormat="1" ht="17.399999999999999">
      <c r="A40" s="5940" t="s">
        <v>182</v>
      </c>
      <c r="B40" s="2741" t="s">
        <v>808</v>
      </c>
      <c r="C40" s="4832">
        <f>SUM(F40,L40,O40,R40,U40,X40,AA40,AD40,AG40,AJ40,AM40,I40)</f>
        <v>941000</v>
      </c>
      <c r="D40" s="4832"/>
      <c r="E40" s="4832">
        <f>SUM(H40,N40,Q40,T40,W40,Z40,AC40,AF40,AI40,AL40,AO40,K40)</f>
        <v>941000</v>
      </c>
      <c r="F40" s="4832">
        <f>+'Phụ lục số 8.1'!P23</f>
        <v>45493</v>
      </c>
      <c r="G40" s="4832"/>
      <c r="H40" s="4832">
        <f t="shared" ref="H40" si="30">F40</f>
        <v>45493</v>
      </c>
      <c r="I40" s="4832">
        <f>+'Phụ lục số 8.1'!X23</f>
        <v>0</v>
      </c>
      <c r="J40" s="4832"/>
      <c r="K40" s="4832">
        <f>I40</f>
        <v>0</v>
      </c>
      <c r="L40" s="4832">
        <f>+'Phụ lục số 8.1'!AF23</f>
        <v>36240</v>
      </c>
      <c r="M40" s="4832"/>
      <c r="N40" s="4832">
        <f t="shared" si="19"/>
        <v>36240</v>
      </c>
      <c r="O40" s="4832">
        <f>+'Phụ lục số 8.1'!AN23</f>
        <v>16410</v>
      </c>
      <c r="P40" s="4832"/>
      <c r="Q40" s="4832">
        <f t="shared" si="20"/>
        <v>16410</v>
      </c>
      <c r="R40" s="4832">
        <f>+'Phụ lục số 8.1'!AV23</f>
        <v>17902</v>
      </c>
      <c r="S40" s="4832"/>
      <c r="T40" s="4832">
        <f t="shared" si="21"/>
        <v>17902</v>
      </c>
      <c r="U40" s="4832">
        <f>+'Phụ lục số 8.1'!BD23</f>
        <v>517247</v>
      </c>
      <c r="V40" s="4832"/>
      <c r="W40" s="4832">
        <f t="shared" si="22"/>
        <v>517247</v>
      </c>
      <c r="X40" s="4832">
        <f>+'Phụ lục số 8.1'!BL23</f>
        <v>45892</v>
      </c>
      <c r="Y40" s="4832"/>
      <c r="Z40" s="4832">
        <f t="shared" si="23"/>
        <v>45892</v>
      </c>
      <c r="AA40" s="4832">
        <f>+'Phụ lục số 8.1'!BT23</f>
        <v>20039</v>
      </c>
      <c r="AB40" s="4832"/>
      <c r="AC40" s="4832">
        <f t="shared" si="24"/>
        <v>20039</v>
      </c>
      <c r="AD40" s="4832">
        <f>+'Phụ lục số 8.1'!CB23</f>
        <v>0</v>
      </c>
      <c r="AE40" s="4832"/>
      <c r="AF40" s="4832">
        <f t="shared" si="25"/>
        <v>0</v>
      </c>
      <c r="AG40" s="4832">
        <f>+'Phụ lục số 8.1'!CJ23</f>
        <v>16209</v>
      </c>
      <c r="AH40" s="4832"/>
      <c r="AI40" s="4832">
        <f t="shared" si="26"/>
        <v>16209</v>
      </c>
      <c r="AJ40" s="4832">
        <f>+'Phụ lục số 8.1'!CR23</f>
        <v>203111</v>
      </c>
      <c r="AK40" s="4832"/>
      <c r="AL40" s="4832">
        <f t="shared" si="27"/>
        <v>203111</v>
      </c>
      <c r="AM40" s="4832">
        <f>+'Phụ lục số 8.1'!CZ23</f>
        <v>22457</v>
      </c>
      <c r="AN40" s="4832"/>
      <c r="AO40" s="5941">
        <f t="shared" si="28"/>
        <v>22457</v>
      </c>
    </row>
    <row r="41" spans="1:41" s="679" customFormat="1" ht="18.600000000000001" thickBot="1">
      <c r="A41" s="5943"/>
      <c r="B41" s="5944" t="s">
        <v>809</v>
      </c>
      <c r="C41" s="5945"/>
      <c r="D41" s="5945"/>
      <c r="E41" s="5945">
        <f>SUM(H41,N41,Q41,T41,W41,Z41,AC41,AF41,AI41,AL41,AO41,K41)</f>
        <v>11751651.907</v>
      </c>
      <c r="F41" s="5945"/>
      <c r="G41" s="5945"/>
      <c r="H41" s="5945">
        <f>SUM(H7,H36,H40)</f>
        <v>800543.99</v>
      </c>
      <c r="I41" s="5945"/>
      <c r="J41" s="5945"/>
      <c r="K41" s="5945">
        <f>SUM(K7,K36,K40)</f>
        <v>767830.174</v>
      </c>
      <c r="L41" s="5945"/>
      <c r="M41" s="5945"/>
      <c r="N41" s="5945">
        <f>SUM(N7,N36,N40)</f>
        <v>713376.21900000004</v>
      </c>
      <c r="O41" s="5945"/>
      <c r="P41" s="5945"/>
      <c r="Q41" s="5945">
        <f>SUM(Q7,Q36,Q40)</f>
        <v>778427.45200000005</v>
      </c>
      <c r="R41" s="5945"/>
      <c r="S41" s="5945"/>
      <c r="T41" s="5945">
        <f>SUM(T7,T36,T40)</f>
        <v>950436.22600000002</v>
      </c>
      <c r="U41" s="5945"/>
      <c r="V41" s="5945"/>
      <c r="W41" s="5945">
        <f>SUM(W7,W36,W40)</f>
        <v>1814306.929</v>
      </c>
      <c r="X41" s="5945"/>
      <c r="Y41" s="5945"/>
      <c r="Z41" s="5945">
        <f>SUM(Z7,Z36,Z40)</f>
        <v>1193776.621</v>
      </c>
      <c r="AA41" s="5945"/>
      <c r="AB41" s="5945"/>
      <c r="AC41" s="5945">
        <f>SUM(AC7,AC36,AC40)</f>
        <v>1015582.879</v>
      </c>
      <c r="AD41" s="5945"/>
      <c r="AE41" s="5945"/>
      <c r="AF41" s="5945">
        <f>SUM(AF7,AF36,AF40)</f>
        <v>1007609.827</v>
      </c>
      <c r="AG41" s="5945"/>
      <c r="AH41" s="5945"/>
      <c r="AI41" s="5945">
        <f>SUM(AI7,AI36,AI40)</f>
        <v>891369.38300000003</v>
      </c>
      <c r="AJ41" s="5945"/>
      <c r="AK41" s="5945"/>
      <c r="AL41" s="5945">
        <f>SUM(AL7,AL36,AL40)</f>
        <v>946873.73499999999</v>
      </c>
      <c r="AM41" s="5945"/>
      <c r="AN41" s="5945"/>
      <c r="AO41" s="5946">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11" t="s">
        <v>1750</v>
      </c>
      <c r="D1" s="6111"/>
      <c r="E1" s="6111"/>
      <c r="F1" s="6111"/>
      <c r="G1" s="6111"/>
      <c r="H1" s="6111"/>
      <c r="I1" s="6111"/>
      <c r="J1" s="6111"/>
      <c r="K1" s="6111"/>
      <c r="L1" s="6111"/>
      <c r="M1" s="6111"/>
      <c r="N1" s="6111"/>
      <c r="O1" s="6111" t="s">
        <v>1458</v>
      </c>
      <c r="P1" s="6111"/>
      <c r="Q1" s="6111"/>
      <c r="R1" s="6111"/>
      <c r="S1" s="6111"/>
      <c r="T1" s="6111"/>
      <c r="U1" s="6111"/>
      <c r="V1" s="6111"/>
      <c r="W1" s="6111"/>
      <c r="X1" s="6111"/>
      <c r="Y1" s="6111"/>
      <c r="Z1" s="6111"/>
      <c r="AA1" s="6111" t="s">
        <v>1458</v>
      </c>
      <c r="AB1" s="6111"/>
      <c r="AC1" s="6111"/>
      <c r="AD1" s="6111"/>
      <c r="AE1" s="6111"/>
      <c r="AF1" s="6111"/>
      <c r="AG1" s="6111"/>
      <c r="AH1" s="6111"/>
      <c r="AI1" s="6111"/>
      <c r="AJ1" s="6111"/>
      <c r="AK1" s="6111"/>
      <c r="AL1" s="6111"/>
      <c r="AM1" s="6111" t="s">
        <v>1458</v>
      </c>
      <c r="AN1" s="6111"/>
      <c r="AO1" s="6111"/>
      <c r="AP1" s="6111"/>
      <c r="AQ1" s="6111"/>
      <c r="AR1" s="6111"/>
      <c r="AS1" s="6111"/>
      <c r="AT1" s="6111"/>
      <c r="AU1" s="6111"/>
      <c r="AV1" s="6111"/>
      <c r="AW1" s="6111"/>
      <c r="AX1" s="6111"/>
      <c r="AY1" s="6111" t="s">
        <v>1458</v>
      </c>
      <c r="AZ1" s="6111"/>
      <c r="BA1" s="6111"/>
      <c r="BB1" s="6111"/>
      <c r="BC1" s="6111"/>
      <c r="BD1" s="6111"/>
      <c r="BE1" s="6111"/>
      <c r="BF1" s="6111"/>
      <c r="BG1" s="6111"/>
      <c r="BH1" s="6111"/>
      <c r="BI1" s="6111"/>
      <c r="BJ1" s="6111"/>
      <c r="BK1" s="6111" t="s">
        <v>1458</v>
      </c>
      <c r="BL1" s="6111"/>
      <c r="BM1" s="6111"/>
      <c r="BN1" s="6111"/>
      <c r="BO1" s="6111"/>
      <c r="BP1" s="6111"/>
      <c r="BQ1" s="6111"/>
      <c r="BR1" s="6111"/>
      <c r="BS1" s="6111"/>
      <c r="BT1" s="6111"/>
      <c r="BU1" s="6111"/>
      <c r="BV1" s="6111"/>
      <c r="BW1" s="6111" t="s">
        <v>1458</v>
      </c>
      <c r="BX1" s="6111"/>
      <c r="BY1" s="6111"/>
      <c r="BZ1" s="6111"/>
      <c r="CA1" s="6111"/>
      <c r="CB1" s="6111"/>
      <c r="CC1" s="6111"/>
      <c r="CD1" s="6111"/>
      <c r="CE1" s="6111"/>
      <c r="CF1" s="6111"/>
      <c r="CG1" s="6111"/>
      <c r="CH1" s="6111"/>
      <c r="CI1" s="6111" t="s">
        <v>1458</v>
      </c>
      <c r="CJ1" s="6111"/>
      <c r="CK1" s="6111"/>
      <c r="CL1" s="6111"/>
      <c r="CM1" s="6111"/>
      <c r="CN1" s="6111"/>
      <c r="CO1" s="6111"/>
      <c r="CP1" s="6111"/>
      <c r="CQ1" s="6111"/>
      <c r="CR1" s="6111"/>
      <c r="CS1" s="6111"/>
      <c r="CT1" s="6111"/>
      <c r="CU1" s="6111" t="s">
        <v>1458</v>
      </c>
      <c r="CV1" s="6111"/>
      <c r="CW1" s="6111"/>
      <c r="CX1" s="6111"/>
      <c r="CY1" s="6111"/>
      <c r="CZ1" s="6111"/>
      <c r="DA1" s="6111"/>
      <c r="DB1" s="6111"/>
      <c r="DC1" s="6111"/>
      <c r="DD1" s="6111"/>
      <c r="DE1" s="6111"/>
      <c r="DF1" s="6111"/>
      <c r="DG1" s="6111" t="s">
        <v>1458</v>
      </c>
      <c r="DH1" s="6111"/>
      <c r="DI1" s="6111"/>
      <c r="DJ1" s="6111"/>
      <c r="DK1" s="6111"/>
      <c r="DL1" s="6111"/>
      <c r="DM1" s="6111"/>
      <c r="DN1" s="6111"/>
      <c r="DO1" s="6111"/>
      <c r="DP1" s="6111"/>
      <c r="DQ1" s="6111"/>
      <c r="DR1" s="6111"/>
      <c r="DS1" s="6111" t="s">
        <v>1458</v>
      </c>
      <c r="DT1" s="6111"/>
      <c r="DU1" s="6111"/>
      <c r="DV1" s="6111"/>
      <c r="DW1" s="6111"/>
      <c r="DX1" s="6111"/>
      <c r="DY1" s="6111"/>
      <c r="DZ1" s="6111"/>
      <c r="EA1" s="6111"/>
      <c r="EB1" s="6111"/>
      <c r="EC1" s="6111"/>
      <c r="ED1" s="6111"/>
      <c r="EE1" s="6111" t="s">
        <v>1458</v>
      </c>
      <c r="EF1" s="6111"/>
      <c r="EG1" s="6111"/>
      <c r="EH1" s="6111"/>
      <c r="EI1" s="6111"/>
      <c r="EJ1" s="6111"/>
      <c r="EK1" s="6111"/>
      <c r="EL1" s="6111"/>
      <c r="EM1" s="6111"/>
      <c r="EN1" s="6111"/>
      <c r="EO1" s="6111"/>
      <c r="EP1" s="6111"/>
      <c r="EQ1" s="6111" t="s">
        <v>1458</v>
      </c>
      <c r="ER1" s="6111"/>
      <c r="ES1" s="6111"/>
      <c r="ET1" s="6111"/>
      <c r="EU1" s="6111"/>
      <c r="EV1" s="6111"/>
      <c r="EW1" s="6111"/>
      <c r="EX1" s="6111"/>
      <c r="EY1" s="6111"/>
      <c r="EZ1" s="6111"/>
      <c r="FA1" s="6111"/>
      <c r="FB1" s="6111"/>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791">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642" t="s">
        <v>247</v>
      </c>
      <c r="B4" s="6371" t="s">
        <v>1123</v>
      </c>
      <c r="C4" s="6294" t="s">
        <v>1459</v>
      </c>
      <c r="D4" s="6294"/>
      <c r="E4" s="6294"/>
      <c r="F4" s="6294"/>
      <c r="G4" s="6294"/>
      <c r="H4" s="6294"/>
      <c r="I4" s="6294"/>
      <c r="J4" s="6294"/>
      <c r="K4" s="6294"/>
      <c r="L4" s="6294"/>
      <c r="M4" s="6294"/>
      <c r="N4" s="6294"/>
      <c r="O4" s="6371" t="s">
        <v>1135</v>
      </c>
      <c r="P4" s="6371"/>
      <c r="Q4" s="6371"/>
      <c r="R4" s="6371"/>
      <c r="S4" s="6371"/>
      <c r="T4" s="6371"/>
      <c r="U4" s="6371"/>
      <c r="V4" s="6371"/>
      <c r="W4" s="6371"/>
      <c r="X4" s="6371"/>
      <c r="Y4" s="6371"/>
      <c r="Z4" s="6371"/>
      <c r="AA4" s="6371" t="s">
        <v>1136</v>
      </c>
      <c r="AB4" s="6371"/>
      <c r="AC4" s="6371"/>
      <c r="AD4" s="6371"/>
      <c r="AE4" s="6371"/>
      <c r="AF4" s="6371"/>
      <c r="AG4" s="6371"/>
      <c r="AH4" s="6371"/>
      <c r="AI4" s="6371"/>
      <c r="AJ4" s="6371"/>
      <c r="AK4" s="6371"/>
      <c r="AL4" s="6371"/>
      <c r="AM4" s="6371" t="s">
        <v>1137</v>
      </c>
      <c r="AN4" s="6371"/>
      <c r="AO4" s="6371"/>
      <c r="AP4" s="6371"/>
      <c r="AQ4" s="6371"/>
      <c r="AR4" s="6371"/>
      <c r="AS4" s="6371"/>
      <c r="AT4" s="6371"/>
      <c r="AU4" s="6371"/>
      <c r="AV4" s="6371"/>
      <c r="AW4" s="6371"/>
      <c r="AX4" s="6371"/>
      <c r="AY4" s="6371" t="s">
        <v>1138</v>
      </c>
      <c r="AZ4" s="6371"/>
      <c r="BA4" s="6371"/>
      <c r="BB4" s="6371"/>
      <c r="BC4" s="6371"/>
      <c r="BD4" s="6371"/>
      <c r="BE4" s="6371"/>
      <c r="BF4" s="6371"/>
      <c r="BG4" s="6371"/>
      <c r="BH4" s="6371"/>
      <c r="BI4" s="6371"/>
      <c r="BJ4" s="6371"/>
      <c r="BK4" s="6641" t="s">
        <v>1139</v>
      </c>
      <c r="BL4" s="6641"/>
      <c r="BM4" s="6641"/>
      <c r="BN4" s="6641"/>
      <c r="BO4" s="6641"/>
      <c r="BP4" s="6641"/>
      <c r="BQ4" s="6641"/>
      <c r="BR4" s="6641"/>
      <c r="BS4" s="6641"/>
      <c r="BT4" s="6641"/>
      <c r="BU4" s="6641"/>
      <c r="BV4" s="6641"/>
      <c r="BW4" s="6641" t="s">
        <v>1140</v>
      </c>
      <c r="BX4" s="6641"/>
      <c r="BY4" s="6641"/>
      <c r="BZ4" s="6641"/>
      <c r="CA4" s="6641"/>
      <c r="CB4" s="6641"/>
      <c r="CC4" s="6641"/>
      <c r="CD4" s="6641"/>
      <c r="CE4" s="6641"/>
      <c r="CF4" s="6641"/>
      <c r="CG4" s="6641"/>
      <c r="CH4" s="6641"/>
      <c r="CI4" s="6371" t="s">
        <v>1141</v>
      </c>
      <c r="CJ4" s="6371"/>
      <c r="CK4" s="6371"/>
      <c r="CL4" s="6371"/>
      <c r="CM4" s="6371"/>
      <c r="CN4" s="6371"/>
      <c r="CO4" s="6371"/>
      <c r="CP4" s="6371"/>
      <c r="CQ4" s="6371"/>
      <c r="CR4" s="6371"/>
      <c r="CS4" s="6371"/>
      <c r="CT4" s="6371"/>
      <c r="CU4" s="6636" t="s">
        <v>1142</v>
      </c>
      <c r="CV4" s="6636"/>
      <c r="CW4" s="6636"/>
      <c r="CX4" s="6636"/>
      <c r="CY4" s="6636"/>
      <c r="CZ4" s="6636"/>
      <c r="DA4" s="6636"/>
      <c r="DB4" s="6636"/>
      <c r="DC4" s="6636"/>
      <c r="DD4" s="6636"/>
      <c r="DE4" s="6636"/>
      <c r="DF4" s="6636"/>
      <c r="DG4" s="6636" t="s">
        <v>1143</v>
      </c>
      <c r="DH4" s="6636"/>
      <c r="DI4" s="6636"/>
      <c r="DJ4" s="6636"/>
      <c r="DK4" s="6636"/>
      <c r="DL4" s="6636"/>
      <c r="DM4" s="6636"/>
      <c r="DN4" s="6636"/>
      <c r="DO4" s="6636"/>
      <c r="DP4" s="6636"/>
      <c r="DQ4" s="6636"/>
      <c r="DR4" s="6636"/>
      <c r="DS4" s="6636" t="s">
        <v>1144</v>
      </c>
      <c r="DT4" s="6636"/>
      <c r="DU4" s="6636"/>
      <c r="DV4" s="6636"/>
      <c r="DW4" s="6636"/>
      <c r="DX4" s="6636"/>
      <c r="DY4" s="6636"/>
      <c r="DZ4" s="6636"/>
      <c r="EA4" s="6636"/>
      <c r="EB4" s="6636"/>
      <c r="EC4" s="6636"/>
      <c r="ED4" s="6636"/>
      <c r="EE4" s="6641" t="s">
        <v>1460</v>
      </c>
      <c r="EF4" s="6641"/>
      <c r="EG4" s="6641"/>
      <c r="EH4" s="6641"/>
      <c r="EI4" s="6641"/>
      <c r="EJ4" s="6641"/>
      <c r="EK4" s="6641"/>
      <c r="EL4" s="6641"/>
      <c r="EM4" s="6641"/>
      <c r="EN4" s="6641"/>
      <c r="EO4" s="6641"/>
      <c r="EP4" s="6641"/>
      <c r="EQ4" s="6641" t="s">
        <v>1146</v>
      </c>
      <c r="ER4" s="6641"/>
      <c r="ES4" s="6641"/>
      <c r="ET4" s="6641"/>
      <c r="EU4" s="6641"/>
      <c r="EV4" s="6641"/>
      <c r="EW4" s="6641"/>
      <c r="EX4" s="6641"/>
      <c r="EY4" s="6641"/>
      <c r="EZ4" s="6641"/>
      <c r="FA4" s="6641"/>
      <c r="FB4" s="6641"/>
    </row>
    <row r="5" spans="1:162" s="382" customFormat="1" ht="17.399999999999999">
      <c r="A5" s="6642"/>
      <c r="B5" s="6371"/>
      <c r="C5" s="6294" t="s">
        <v>219</v>
      </c>
      <c r="D5" s="6294"/>
      <c r="E5" s="6294" t="s">
        <v>1461</v>
      </c>
      <c r="F5" s="6294"/>
      <c r="G5" s="6294" t="s">
        <v>1749</v>
      </c>
      <c r="H5" s="6294"/>
      <c r="I5" s="6294" t="s">
        <v>224</v>
      </c>
      <c r="J5" s="6294"/>
      <c r="K5" s="6640" t="s">
        <v>1462</v>
      </c>
      <c r="L5" s="6640"/>
      <c r="M5" s="6640"/>
      <c r="N5" s="6640"/>
      <c r="O5" s="6371" t="str">
        <f>C5</f>
        <v>Dự toán 2024</v>
      </c>
      <c r="P5" s="6371"/>
      <c r="Q5" s="6636" t="str">
        <f>E5</f>
        <v xml:space="preserve">TH 8 tháng </v>
      </c>
      <c r="R5" s="6636"/>
      <c r="S5" s="6294" t="str">
        <f>G5</f>
        <v>UTH 2024</v>
      </c>
      <c r="T5" s="6294"/>
      <c r="U5" s="6371" t="str">
        <f>I5</f>
        <v>Dự toán 2025</v>
      </c>
      <c r="V5" s="6371"/>
      <c r="W5" s="6638" t="s">
        <v>1462</v>
      </c>
      <c r="X5" s="6638"/>
      <c r="Y5" s="6638"/>
      <c r="Z5" s="6638"/>
      <c r="AA5" s="6371" t="str">
        <f>O5</f>
        <v>Dự toán 2024</v>
      </c>
      <c r="AB5" s="6371"/>
      <c r="AC5" s="6636" t="str">
        <f>Q5</f>
        <v xml:space="preserve">TH 8 tháng </v>
      </c>
      <c r="AD5" s="6636"/>
      <c r="AE5" s="6294" t="str">
        <f>S5</f>
        <v>UTH 2024</v>
      </c>
      <c r="AF5" s="6294"/>
      <c r="AG5" s="6371" t="str">
        <f>U5</f>
        <v>Dự toán 2025</v>
      </c>
      <c r="AH5" s="6371"/>
      <c r="AI5" s="6638" t="s">
        <v>1462</v>
      </c>
      <c r="AJ5" s="6638"/>
      <c r="AK5" s="6638"/>
      <c r="AL5" s="6638"/>
      <c r="AM5" s="6371" t="str">
        <f>AA5</f>
        <v>Dự toán 2024</v>
      </c>
      <c r="AN5" s="6371"/>
      <c r="AO5" s="6636" t="str">
        <f>AC5</f>
        <v xml:space="preserve">TH 8 tháng </v>
      </c>
      <c r="AP5" s="6636"/>
      <c r="AQ5" s="6294" t="str">
        <f>AE5</f>
        <v>UTH 2024</v>
      </c>
      <c r="AR5" s="6294"/>
      <c r="AS5" s="6371" t="str">
        <f>AG5</f>
        <v>Dự toán 2025</v>
      </c>
      <c r="AT5" s="6371"/>
      <c r="AU5" s="6638" t="s">
        <v>1462</v>
      </c>
      <c r="AV5" s="6638"/>
      <c r="AW5" s="6638"/>
      <c r="AX5" s="6638"/>
      <c r="AY5" s="6371" t="str">
        <f>AM5</f>
        <v>Dự toán 2024</v>
      </c>
      <c r="AZ5" s="6371"/>
      <c r="BA5" s="6636" t="str">
        <f>AO5</f>
        <v xml:space="preserve">TH 8 tháng </v>
      </c>
      <c r="BB5" s="6636"/>
      <c r="BC5" s="6371" t="str">
        <f>AQ5</f>
        <v>UTH 2024</v>
      </c>
      <c r="BD5" s="6371"/>
      <c r="BE5" s="6371" t="str">
        <f>AS5</f>
        <v>Dự toán 2025</v>
      </c>
      <c r="BF5" s="6371"/>
      <c r="BG5" s="6638" t="s">
        <v>1462</v>
      </c>
      <c r="BH5" s="6638"/>
      <c r="BI5" s="6638"/>
      <c r="BJ5" s="6638"/>
      <c r="BK5" s="6371" t="str">
        <f>AY5</f>
        <v>Dự toán 2024</v>
      </c>
      <c r="BL5" s="6371"/>
      <c r="BM5" s="6636" t="str">
        <f>BA5</f>
        <v xml:space="preserve">TH 8 tháng </v>
      </c>
      <c r="BN5" s="6636"/>
      <c r="BO5" s="6294" t="str">
        <f>BC5</f>
        <v>UTH 2024</v>
      </c>
      <c r="BP5" s="6294"/>
      <c r="BQ5" s="6371" t="str">
        <f>BE5</f>
        <v>Dự toán 2025</v>
      </c>
      <c r="BR5" s="6371"/>
      <c r="BS5" s="6638" t="s">
        <v>1462</v>
      </c>
      <c r="BT5" s="6638"/>
      <c r="BU5" s="6638"/>
      <c r="BV5" s="6638"/>
      <c r="BW5" s="6371" t="str">
        <f>BK5</f>
        <v>Dự toán 2024</v>
      </c>
      <c r="BX5" s="6371"/>
      <c r="BY5" s="6636" t="str">
        <f>BM5</f>
        <v xml:space="preserve">TH 8 tháng </v>
      </c>
      <c r="BZ5" s="6636"/>
      <c r="CA5" s="6294" t="str">
        <f>BO5</f>
        <v>UTH 2024</v>
      </c>
      <c r="CB5" s="6294"/>
      <c r="CC5" s="6371" t="str">
        <f>BQ5</f>
        <v>Dự toán 2025</v>
      </c>
      <c r="CD5" s="6371"/>
      <c r="CE5" s="6638" t="s">
        <v>1462</v>
      </c>
      <c r="CF5" s="6638"/>
      <c r="CG5" s="6638"/>
      <c r="CH5" s="6638"/>
      <c r="CI5" s="6371" t="str">
        <f>BW5</f>
        <v>Dự toán 2024</v>
      </c>
      <c r="CJ5" s="6371"/>
      <c r="CK5" s="6636" t="str">
        <f>BY5</f>
        <v xml:space="preserve">TH 8 tháng </v>
      </c>
      <c r="CL5" s="6636"/>
      <c r="CM5" s="6294" t="str">
        <f>CA5</f>
        <v>UTH 2024</v>
      </c>
      <c r="CN5" s="6294"/>
      <c r="CO5" s="6371" t="str">
        <f>CC5</f>
        <v>Dự toán 2025</v>
      </c>
      <c r="CP5" s="6371"/>
      <c r="CQ5" s="6638" t="s">
        <v>1462</v>
      </c>
      <c r="CR5" s="6638"/>
      <c r="CS5" s="6638"/>
      <c r="CT5" s="6638"/>
      <c r="CU5" s="6371" t="str">
        <f>CI5</f>
        <v>Dự toán 2024</v>
      </c>
      <c r="CV5" s="6371"/>
      <c r="CW5" s="6636" t="str">
        <f>CK5</f>
        <v xml:space="preserve">TH 8 tháng </v>
      </c>
      <c r="CX5" s="6636"/>
      <c r="CY5" s="6371" t="str">
        <f>CM5</f>
        <v>UTH 2024</v>
      </c>
      <c r="CZ5" s="6371"/>
      <c r="DA5" s="6371" t="str">
        <f>CO5</f>
        <v>Dự toán 2025</v>
      </c>
      <c r="DB5" s="6371"/>
      <c r="DC5" s="6638" t="s">
        <v>1462</v>
      </c>
      <c r="DD5" s="6638"/>
      <c r="DE5" s="6638"/>
      <c r="DF5" s="6638"/>
      <c r="DG5" s="6636" t="str">
        <f>CU5</f>
        <v>Dự toán 2024</v>
      </c>
      <c r="DH5" s="6636"/>
      <c r="DI5" s="6636" t="str">
        <f>CW5</f>
        <v xml:space="preserve">TH 8 tháng </v>
      </c>
      <c r="DJ5" s="6636"/>
      <c r="DK5" s="6636" t="str">
        <f>CY5</f>
        <v>UTH 2024</v>
      </c>
      <c r="DL5" s="6636"/>
      <c r="DM5" s="6636" t="str">
        <f>DA5</f>
        <v>Dự toán 2025</v>
      </c>
      <c r="DN5" s="6636"/>
      <c r="DO5" s="6639" t="s">
        <v>1462</v>
      </c>
      <c r="DP5" s="6639"/>
      <c r="DQ5" s="6639"/>
      <c r="DR5" s="6639"/>
      <c r="DS5" s="6636" t="str">
        <f>DG5</f>
        <v>Dự toán 2024</v>
      </c>
      <c r="DT5" s="6636"/>
      <c r="DU5" s="6636" t="str">
        <f>DI5</f>
        <v xml:space="preserve">TH 8 tháng </v>
      </c>
      <c r="DV5" s="6636"/>
      <c r="DW5" s="6294" t="str">
        <f>DK5</f>
        <v>UTH 2024</v>
      </c>
      <c r="DX5" s="6294"/>
      <c r="DY5" s="6636" t="str">
        <f>DM5</f>
        <v>Dự toán 2025</v>
      </c>
      <c r="DZ5" s="6636"/>
      <c r="EA5" s="6639" t="s">
        <v>1462</v>
      </c>
      <c r="EB5" s="6639"/>
      <c r="EC5" s="6639"/>
      <c r="ED5" s="6639"/>
      <c r="EE5" s="6371" t="str">
        <f>DS5</f>
        <v>Dự toán 2024</v>
      </c>
      <c r="EF5" s="6371"/>
      <c r="EG5" s="6636" t="str">
        <f>DU5</f>
        <v xml:space="preserve">TH 8 tháng </v>
      </c>
      <c r="EH5" s="6636"/>
      <c r="EI5" s="6371" t="str">
        <f>DW5</f>
        <v>UTH 2024</v>
      </c>
      <c r="EJ5" s="6371"/>
      <c r="EK5" s="6371" t="str">
        <f>DY5</f>
        <v>Dự toán 2025</v>
      </c>
      <c r="EL5" s="6371"/>
      <c r="EM5" s="6638" t="s">
        <v>1462</v>
      </c>
      <c r="EN5" s="6638"/>
      <c r="EO5" s="6638"/>
      <c r="EP5" s="6638"/>
      <c r="EQ5" s="6371" t="str">
        <f>EE5</f>
        <v>Dự toán 2024</v>
      </c>
      <c r="ER5" s="6371"/>
      <c r="ES5" s="6636" t="str">
        <f>EG5</f>
        <v xml:space="preserve">TH 8 tháng </v>
      </c>
      <c r="ET5" s="6636"/>
      <c r="EU5" s="6371" t="str">
        <f>EI5</f>
        <v>UTH 2024</v>
      </c>
      <c r="EV5" s="6371"/>
      <c r="EW5" s="6371" t="str">
        <f>EK5</f>
        <v>Dự toán 2025</v>
      </c>
      <c r="EX5" s="6371"/>
      <c r="EY5" s="6638" t="s">
        <v>1462</v>
      </c>
      <c r="EZ5" s="6638"/>
      <c r="FA5" s="6638"/>
      <c r="FB5" s="6638"/>
      <c r="FC5" s="6371" t="s">
        <v>1463</v>
      </c>
      <c r="FD5" s="6371"/>
      <c r="FE5" s="6371"/>
      <c r="FF5" s="6371"/>
    </row>
    <row r="6" spans="1:162" s="382" customFormat="1" ht="17.399999999999999">
      <c r="A6" s="6642"/>
      <c r="B6" s="6371"/>
      <c r="C6" s="6294" t="s">
        <v>1464</v>
      </c>
      <c r="D6" s="6295" t="s">
        <v>1465</v>
      </c>
      <c r="E6" s="6294" t="s">
        <v>1464</v>
      </c>
      <c r="F6" s="6295" t="s">
        <v>1465</v>
      </c>
      <c r="G6" s="6294" t="s">
        <v>1464</v>
      </c>
      <c r="H6" s="6295" t="s">
        <v>1465</v>
      </c>
      <c r="I6" s="6294" t="s">
        <v>1464</v>
      </c>
      <c r="J6" s="6295" t="s">
        <v>1465</v>
      </c>
      <c r="K6" s="6295" t="s">
        <v>1752</v>
      </c>
      <c r="L6" s="6295"/>
      <c r="M6" s="6295" t="s">
        <v>1753</v>
      </c>
      <c r="N6" s="6295"/>
      <c r="O6" s="6371" t="s">
        <v>1464</v>
      </c>
      <c r="P6" s="6046" t="s">
        <v>1465</v>
      </c>
      <c r="Q6" s="6636" t="s">
        <v>1464</v>
      </c>
      <c r="R6" s="6637" t="s">
        <v>1465</v>
      </c>
      <c r="S6" s="6294" t="s">
        <v>1464</v>
      </c>
      <c r="T6" s="6295" t="s">
        <v>1465</v>
      </c>
      <c r="U6" s="6371" t="s">
        <v>1464</v>
      </c>
      <c r="V6" s="6046" t="s">
        <v>1465</v>
      </c>
      <c r="W6" s="6046" t="str">
        <f>K6</f>
        <v>DT25/ UTH24</v>
      </c>
      <c r="X6" s="6046"/>
      <c r="Y6" s="6046" t="str">
        <f>M6</f>
        <v>UTH24/ DT24</v>
      </c>
      <c r="Z6" s="6046"/>
      <c r="AA6" s="6371" t="s">
        <v>1464</v>
      </c>
      <c r="AB6" s="6046" t="s">
        <v>1465</v>
      </c>
      <c r="AC6" s="6636" t="s">
        <v>1464</v>
      </c>
      <c r="AD6" s="6637" t="s">
        <v>1465</v>
      </c>
      <c r="AE6" s="6294" t="s">
        <v>1464</v>
      </c>
      <c r="AF6" s="6295" t="s">
        <v>1465</v>
      </c>
      <c r="AG6" s="6371" t="s">
        <v>1464</v>
      </c>
      <c r="AH6" s="6046" t="s">
        <v>1465</v>
      </c>
      <c r="AI6" s="6046" t="str">
        <f>W6</f>
        <v>DT25/ UTH24</v>
      </c>
      <c r="AJ6" s="6046"/>
      <c r="AK6" s="6046" t="str">
        <f>Y6</f>
        <v>UTH24/ DT24</v>
      </c>
      <c r="AL6" s="6046"/>
      <c r="AM6" s="6371" t="s">
        <v>1464</v>
      </c>
      <c r="AN6" s="6046" t="s">
        <v>1465</v>
      </c>
      <c r="AO6" s="6371" t="s">
        <v>1464</v>
      </c>
      <c r="AP6" s="6046" t="s">
        <v>1465</v>
      </c>
      <c r="AQ6" s="6371" t="s">
        <v>1464</v>
      </c>
      <c r="AR6" s="6046" t="s">
        <v>1465</v>
      </c>
      <c r="AS6" s="6371" t="s">
        <v>1464</v>
      </c>
      <c r="AT6" s="6046" t="s">
        <v>1465</v>
      </c>
      <c r="AU6" s="6046" t="str">
        <f>AI6</f>
        <v>DT25/ UTH24</v>
      </c>
      <c r="AV6" s="6046"/>
      <c r="AW6" s="6046" t="str">
        <f>AK6</f>
        <v>UTH24/ DT24</v>
      </c>
      <c r="AX6" s="6046"/>
      <c r="AY6" s="6371" t="s">
        <v>1464</v>
      </c>
      <c r="AZ6" s="6046" t="s">
        <v>1465</v>
      </c>
      <c r="BA6" s="6636" t="s">
        <v>1464</v>
      </c>
      <c r="BB6" s="6637" t="s">
        <v>1465</v>
      </c>
      <c r="BC6" s="6371" t="s">
        <v>1464</v>
      </c>
      <c r="BD6" s="6046" t="s">
        <v>1465</v>
      </c>
      <c r="BE6" s="6371" t="s">
        <v>1464</v>
      </c>
      <c r="BF6" s="6046" t="s">
        <v>1465</v>
      </c>
      <c r="BG6" s="6046" t="str">
        <f>AU6</f>
        <v>DT25/ UTH24</v>
      </c>
      <c r="BH6" s="6046"/>
      <c r="BI6" s="6046" t="str">
        <f>AW6</f>
        <v>UTH24/ DT24</v>
      </c>
      <c r="BJ6" s="6046"/>
      <c r="BK6" s="6371" t="s">
        <v>1464</v>
      </c>
      <c r="BL6" s="6046" t="s">
        <v>1465</v>
      </c>
      <c r="BM6" s="6371" t="s">
        <v>1464</v>
      </c>
      <c r="BN6" s="6046" t="s">
        <v>1465</v>
      </c>
      <c r="BO6" s="6371" t="s">
        <v>1464</v>
      </c>
      <c r="BP6" s="6046" t="s">
        <v>1465</v>
      </c>
      <c r="BQ6" s="6371" t="s">
        <v>1464</v>
      </c>
      <c r="BR6" s="6046" t="s">
        <v>1465</v>
      </c>
      <c r="BS6" s="6046" t="str">
        <f>BG6</f>
        <v>DT25/ UTH24</v>
      </c>
      <c r="BT6" s="6046"/>
      <c r="BU6" s="6046" t="str">
        <f>BI6</f>
        <v>UTH24/ DT24</v>
      </c>
      <c r="BV6" s="6046"/>
      <c r="BW6" s="6371" t="s">
        <v>1464</v>
      </c>
      <c r="BX6" s="6046" t="s">
        <v>1465</v>
      </c>
      <c r="BY6" s="6636" t="s">
        <v>1464</v>
      </c>
      <c r="BZ6" s="6637" t="s">
        <v>1465</v>
      </c>
      <c r="CA6" s="6294" t="s">
        <v>1464</v>
      </c>
      <c r="CB6" s="6295" t="s">
        <v>1465</v>
      </c>
      <c r="CC6" s="6371" t="s">
        <v>1464</v>
      </c>
      <c r="CD6" s="6046" t="s">
        <v>1465</v>
      </c>
      <c r="CE6" s="6046" t="str">
        <f>BS6</f>
        <v>DT25/ UTH24</v>
      </c>
      <c r="CF6" s="6046"/>
      <c r="CG6" s="6046" t="str">
        <f>BU6</f>
        <v>UTH24/ DT24</v>
      </c>
      <c r="CH6" s="6046"/>
      <c r="CI6" s="6371" t="s">
        <v>1464</v>
      </c>
      <c r="CJ6" s="6046" t="s">
        <v>1465</v>
      </c>
      <c r="CK6" s="6371" t="s">
        <v>1464</v>
      </c>
      <c r="CL6" s="6046" t="s">
        <v>1465</v>
      </c>
      <c r="CM6" s="6371" t="s">
        <v>1464</v>
      </c>
      <c r="CN6" s="6046" t="s">
        <v>1465</v>
      </c>
      <c r="CO6" s="6371" t="s">
        <v>1464</v>
      </c>
      <c r="CP6" s="6046" t="s">
        <v>1465</v>
      </c>
      <c r="CQ6" s="6046" t="str">
        <f>CE6</f>
        <v>DT25/ UTH24</v>
      </c>
      <c r="CR6" s="6046"/>
      <c r="CS6" s="6046" t="str">
        <f>CG6</f>
        <v>UTH24/ DT24</v>
      </c>
      <c r="CT6" s="6046"/>
      <c r="CU6" s="6371" t="s">
        <v>1464</v>
      </c>
      <c r="CV6" s="6046" t="s">
        <v>1465</v>
      </c>
      <c r="CW6" s="6371" t="s">
        <v>1464</v>
      </c>
      <c r="CX6" s="6046" t="s">
        <v>1465</v>
      </c>
      <c r="CY6" s="6371" t="s">
        <v>1464</v>
      </c>
      <c r="CZ6" s="6046" t="s">
        <v>1465</v>
      </c>
      <c r="DA6" s="6371" t="s">
        <v>1464</v>
      </c>
      <c r="DB6" s="6046" t="s">
        <v>1465</v>
      </c>
      <c r="DC6" s="6046" t="str">
        <f>CQ6</f>
        <v>DT25/ UTH24</v>
      </c>
      <c r="DD6" s="6046"/>
      <c r="DE6" s="6046" t="str">
        <f>CS6</f>
        <v>UTH24/ DT24</v>
      </c>
      <c r="DF6" s="6046"/>
      <c r="DG6" s="6371" t="s">
        <v>1464</v>
      </c>
      <c r="DH6" s="6046" t="s">
        <v>1465</v>
      </c>
      <c r="DI6" s="6636" t="s">
        <v>1464</v>
      </c>
      <c r="DJ6" s="6637" t="s">
        <v>1465</v>
      </c>
      <c r="DK6" s="6636" t="s">
        <v>1464</v>
      </c>
      <c r="DL6" s="6637" t="s">
        <v>1465</v>
      </c>
      <c r="DM6" s="6636" t="s">
        <v>1464</v>
      </c>
      <c r="DN6" s="6637" t="s">
        <v>1465</v>
      </c>
      <c r="DO6" s="6046" t="str">
        <f>DC6</f>
        <v>DT25/ UTH24</v>
      </c>
      <c r="DP6" s="6046"/>
      <c r="DQ6" s="6046" t="str">
        <f>DE6</f>
        <v>UTH24/ DT24</v>
      </c>
      <c r="DR6" s="6046"/>
      <c r="DS6" s="6371" t="s">
        <v>1464</v>
      </c>
      <c r="DT6" s="6046" t="s">
        <v>1465</v>
      </c>
      <c r="DU6" s="6636" t="s">
        <v>1464</v>
      </c>
      <c r="DV6" s="6637" t="s">
        <v>1465</v>
      </c>
      <c r="DW6" s="6294" t="s">
        <v>1464</v>
      </c>
      <c r="DX6" s="6295" t="s">
        <v>1465</v>
      </c>
      <c r="DY6" s="6371" t="s">
        <v>1464</v>
      </c>
      <c r="DZ6" s="6046" t="s">
        <v>1465</v>
      </c>
      <c r="EA6" s="6046" t="str">
        <f>DO6</f>
        <v>DT25/ UTH24</v>
      </c>
      <c r="EB6" s="6046"/>
      <c r="EC6" s="6046" t="str">
        <f>DQ6</f>
        <v>UTH24/ DT24</v>
      </c>
      <c r="ED6" s="6046"/>
      <c r="EE6" s="6371" t="s">
        <v>1464</v>
      </c>
      <c r="EF6" s="6046" t="s">
        <v>1465</v>
      </c>
      <c r="EG6" s="6636" t="s">
        <v>1464</v>
      </c>
      <c r="EH6" s="6637" t="s">
        <v>1465</v>
      </c>
      <c r="EI6" s="6371" t="s">
        <v>1464</v>
      </c>
      <c r="EJ6" s="6046" t="s">
        <v>1465</v>
      </c>
      <c r="EK6" s="6294" t="s">
        <v>1464</v>
      </c>
      <c r="EL6" s="6295" t="s">
        <v>1465</v>
      </c>
      <c r="EM6" s="6046" t="str">
        <f>EA6</f>
        <v>DT25/ UTH24</v>
      </c>
      <c r="EN6" s="6046"/>
      <c r="EO6" s="6046" t="str">
        <f>EC6</f>
        <v>UTH24/ DT24</v>
      </c>
      <c r="EP6" s="6046"/>
      <c r="EQ6" s="6371" t="s">
        <v>1464</v>
      </c>
      <c r="ER6" s="6046" t="s">
        <v>1465</v>
      </c>
      <c r="ES6" s="6636" t="s">
        <v>1464</v>
      </c>
      <c r="ET6" s="6637" t="s">
        <v>1465</v>
      </c>
      <c r="EU6" s="6371" t="s">
        <v>1464</v>
      </c>
      <c r="EV6" s="6046" t="s">
        <v>1465</v>
      </c>
      <c r="EW6" s="6371" t="s">
        <v>1464</v>
      </c>
      <c r="EX6" s="6046" t="s">
        <v>1465</v>
      </c>
      <c r="EY6" s="6046" t="str">
        <f>EM6</f>
        <v>DT25/ UTH24</v>
      </c>
      <c r="EZ6" s="6046"/>
      <c r="FA6" s="6046" t="str">
        <f>EO6</f>
        <v>UTH24/ DT24</v>
      </c>
      <c r="FB6" s="6046"/>
      <c r="FC6" s="6046" t="s">
        <v>1466</v>
      </c>
      <c r="FD6" s="6046" t="s">
        <v>1467</v>
      </c>
      <c r="FE6" s="6634" t="s">
        <v>1468</v>
      </c>
      <c r="FF6" s="6634" t="s">
        <v>1469</v>
      </c>
    </row>
    <row r="7" spans="1:162" s="382" customFormat="1" ht="17.399999999999999">
      <c r="A7" s="6642"/>
      <c r="B7" s="6371"/>
      <c r="C7" s="6294"/>
      <c r="D7" s="6295"/>
      <c r="E7" s="6294"/>
      <c r="F7" s="6295"/>
      <c r="G7" s="6294"/>
      <c r="H7" s="6295"/>
      <c r="I7" s="6294"/>
      <c r="J7" s="6295"/>
      <c r="K7" s="2247" t="s">
        <v>1470</v>
      </c>
      <c r="L7" s="2247" t="s">
        <v>1471</v>
      </c>
      <c r="M7" s="2247" t="s">
        <v>1470</v>
      </c>
      <c r="N7" s="2247" t="s">
        <v>1471</v>
      </c>
      <c r="O7" s="6371"/>
      <c r="P7" s="6046"/>
      <c r="Q7" s="6636"/>
      <c r="R7" s="6637"/>
      <c r="S7" s="6294"/>
      <c r="T7" s="6295"/>
      <c r="U7" s="6371"/>
      <c r="V7" s="6046"/>
      <c r="W7" s="430" t="s">
        <v>1470</v>
      </c>
      <c r="X7" s="430" t="s">
        <v>1471</v>
      </c>
      <c r="Y7" s="430" t="s">
        <v>1470</v>
      </c>
      <c r="Z7" s="430" t="s">
        <v>1471</v>
      </c>
      <c r="AA7" s="6371"/>
      <c r="AB7" s="6046"/>
      <c r="AC7" s="6636"/>
      <c r="AD7" s="6637"/>
      <c r="AE7" s="6294"/>
      <c r="AF7" s="6295"/>
      <c r="AG7" s="6371"/>
      <c r="AH7" s="6046"/>
      <c r="AI7" s="430" t="s">
        <v>1470</v>
      </c>
      <c r="AJ7" s="430" t="s">
        <v>1471</v>
      </c>
      <c r="AK7" s="430" t="s">
        <v>1470</v>
      </c>
      <c r="AL7" s="430" t="s">
        <v>1471</v>
      </c>
      <c r="AM7" s="6371"/>
      <c r="AN7" s="6046"/>
      <c r="AO7" s="6371"/>
      <c r="AP7" s="6046"/>
      <c r="AQ7" s="6371"/>
      <c r="AR7" s="6046"/>
      <c r="AS7" s="6371"/>
      <c r="AT7" s="6046"/>
      <c r="AU7" s="430" t="s">
        <v>1470</v>
      </c>
      <c r="AV7" s="430" t="s">
        <v>1471</v>
      </c>
      <c r="AW7" s="430" t="s">
        <v>1470</v>
      </c>
      <c r="AX7" s="430" t="s">
        <v>1471</v>
      </c>
      <c r="AY7" s="6371"/>
      <c r="AZ7" s="6046"/>
      <c r="BA7" s="6636"/>
      <c r="BB7" s="6637"/>
      <c r="BC7" s="6371"/>
      <c r="BD7" s="6046"/>
      <c r="BE7" s="6371"/>
      <c r="BF7" s="6046"/>
      <c r="BG7" s="430" t="s">
        <v>1470</v>
      </c>
      <c r="BH7" s="430" t="s">
        <v>1471</v>
      </c>
      <c r="BI7" s="430" t="s">
        <v>1470</v>
      </c>
      <c r="BJ7" s="430" t="s">
        <v>1471</v>
      </c>
      <c r="BK7" s="6371"/>
      <c r="BL7" s="6046"/>
      <c r="BM7" s="6371"/>
      <c r="BN7" s="6046"/>
      <c r="BO7" s="6371"/>
      <c r="BP7" s="6046"/>
      <c r="BQ7" s="6371"/>
      <c r="BR7" s="6046"/>
      <c r="BS7" s="430" t="s">
        <v>1470</v>
      </c>
      <c r="BT7" s="430" t="s">
        <v>1471</v>
      </c>
      <c r="BU7" s="430" t="s">
        <v>1470</v>
      </c>
      <c r="BV7" s="430" t="s">
        <v>1471</v>
      </c>
      <c r="BW7" s="6371"/>
      <c r="BX7" s="6046"/>
      <c r="BY7" s="6636"/>
      <c r="BZ7" s="6637"/>
      <c r="CA7" s="6294"/>
      <c r="CB7" s="6295"/>
      <c r="CC7" s="6371"/>
      <c r="CD7" s="6046"/>
      <c r="CE7" s="430" t="s">
        <v>1470</v>
      </c>
      <c r="CF7" s="430" t="s">
        <v>1471</v>
      </c>
      <c r="CG7" s="430" t="s">
        <v>1470</v>
      </c>
      <c r="CH7" s="430" t="s">
        <v>1471</v>
      </c>
      <c r="CI7" s="6371"/>
      <c r="CJ7" s="6046"/>
      <c r="CK7" s="6371"/>
      <c r="CL7" s="6046"/>
      <c r="CM7" s="6371"/>
      <c r="CN7" s="6046"/>
      <c r="CO7" s="6371"/>
      <c r="CP7" s="6046"/>
      <c r="CQ7" s="430" t="s">
        <v>1470</v>
      </c>
      <c r="CR7" s="430" t="s">
        <v>1471</v>
      </c>
      <c r="CS7" s="430" t="s">
        <v>1470</v>
      </c>
      <c r="CT7" s="430" t="s">
        <v>1471</v>
      </c>
      <c r="CU7" s="6371"/>
      <c r="CV7" s="6046"/>
      <c r="CW7" s="6371"/>
      <c r="CX7" s="6046"/>
      <c r="CY7" s="6371"/>
      <c r="CZ7" s="6046"/>
      <c r="DA7" s="6371"/>
      <c r="DB7" s="6046"/>
      <c r="DC7" s="430" t="s">
        <v>1470</v>
      </c>
      <c r="DD7" s="430" t="s">
        <v>1471</v>
      </c>
      <c r="DE7" s="430" t="s">
        <v>1470</v>
      </c>
      <c r="DF7" s="430" t="s">
        <v>1471</v>
      </c>
      <c r="DG7" s="6371"/>
      <c r="DH7" s="6046"/>
      <c r="DI7" s="6636"/>
      <c r="DJ7" s="6637"/>
      <c r="DK7" s="6636"/>
      <c r="DL7" s="6637"/>
      <c r="DM7" s="6636"/>
      <c r="DN7" s="6637"/>
      <c r="DO7" s="430" t="s">
        <v>1470</v>
      </c>
      <c r="DP7" s="430" t="s">
        <v>1471</v>
      </c>
      <c r="DQ7" s="430" t="s">
        <v>1470</v>
      </c>
      <c r="DR7" s="430" t="s">
        <v>1471</v>
      </c>
      <c r="DS7" s="6371"/>
      <c r="DT7" s="6046"/>
      <c r="DU7" s="6636"/>
      <c r="DV7" s="6637"/>
      <c r="DW7" s="6294"/>
      <c r="DX7" s="6295"/>
      <c r="DY7" s="6371"/>
      <c r="DZ7" s="6046"/>
      <c r="EA7" s="430" t="s">
        <v>1470</v>
      </c>
      <c r="EB7" s="430" t="s">
        <v>1471</v>
      </c>
      <c r="EC7" s="430" t="s">
        <v>1470</v>
      </c>
      <c r="ED7" s="430" t="s">
        <v>1471</v>
      </c>
      <c r="EE7" s="6371"/>
      <c r="EF7" s="6046"/>
      <c r="EG7" s="6636"/>
      <c r="EH7" s="6637"/>
      <c r="EI7" s="6371"/>
      <c r="EJ7" s="6046"/>
      <c r="EK7" s="6294"/>
      <c r="EL7" s="6295"/>
      <c r="EM7" s="430" t="s">
        <v>1470</v>
      </c>
      <c r="EN7" s="430" t="s">
        <v>1471</v>
      </c>
      <c r="EO7" s="430" t="s">
        <v>1470</v>
      </c>
      <c r="EP7" s="430" t="s">
        <v>1471</v>
      </c>
      <c r="EQ7" s="6371"/>
      <c r="ER7" s="6046"/>
      <c r="ES7" s="6636"/>
      <c r="ET7" s="6637"/>
      <c r="EU7" s="6371"/>
      <c r="EV7" s="6046"/>
      <c r="EW7" s="6371"/>
      <c r="EX7" s="6046"/>
      <c r="EY7" s="430" t="s">
        <v>1470</v>
      </c>
      <c r="EZ7" s="430" t="s">
        <v>1471</v>
      </c>
      <c r="FA7" s="430" t="s">
        <v>1470</v>
      </c>
      <c r="FB7" s="430" t="s">
        <v>1471</v>
      </c>
      <c r="FC7" s="6371"/>
      <c r="FD7" s="6046"/>
      <c r="FE7" s="6635"/>
      <c r="FF7" s="6634"/>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792">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793">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69">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69">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1751</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1754</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1755</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1756</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1757</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794"/>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283" t="s">
        <v>3154</v>
      </c>
      <c r="B1" s="6283"/>
      <c r="C1" s="6283"/>
      <c r="D1" s="6283"/>
      <c r="E1" s="6283"/>
      <c r="F1" s="6283"/>
      <c r="G1" s="6283"/>
      <c r="H1" s="6283"/>
      <c r="I1" s="6283"/>
      <c r="J1" s="6283"/>
      <c r="K1" s="6283"/>
      <c r="L1" s="6283"/>
    </row>
    <row r="2" spans="1:19">
      <c r="A2" s="6327" t="str">
        <f>'[31]Phụ lục số 6'!A2:O2</f>
        <v>(Kèm theo Báo cáo số         /BC-UBND ngày      tháng 11 năm 2023 của Ủy ban nhân dân tỉnh Đồng Tháp)</v>
      </c>
      <c r="B2" s="6327"/>
      <c r="C2" s="6327"/>
      <c r="D2" s="6327"/>
      <c r="E2" s="6327"/>
      <c r="F2" s="6327"/>
      <c r="G2" s="6327"/>
      <c r="H2" s="6327"/>
      <c r="I2" s="6327"/>
      <c r="J2" s="6327"/>
      <c r="K2" s="6327"/>
      <c r="L2" s="6327"/>
    </row>
    <row r="3" spans="1:19">
      <c r="A3" s="641"/>
      <c r="B3" s="641"/>
    </row>
    <row r="5" spans="1:19" s="386" customFormat="1" ht="17.399999999999999">
      <c r="A5" s="6075" t="s">
        <v>247</v>
      </c>
      <c r="B5" s="6046" t="s">
        <v>1526</v>
      </c>
      <c r="C5" s="6046" t="s">
        <v>1614</v>
      </c>
      <c r="D5" s="6046"/>
      <c r="E5" s="6046"/>
      <c r="F5" s="6046" t="s">
        <v>1615</v>
      </c>
      <c r="G5" s="6046"/>
      <c r="H5" s="6046"/>
      <c r="I5" s="6371" t="s">
        <v>1616</v>
      </c>
      <c r="J5" s="6371"/>
      <c r="K5" s="6371"/>
      <c r="L5" s="6467" t="s">
        <v>861</v>
      </c>
      <c r="N5" s="6283">
        <v>1</v>
      </c>
      <c r="O5" s="6283"/>
      <c r="P5" s="6283"/>
      <c r="Q5" s="6283">
        <v>2</v>
      </c>
      <c r="R5" s="6283"/>
      <c r="S5" s="6283"/>
    </row>
    <row r="6" spans="1:19" s="380" customFormat="1" ht="52.2">
      <c r="A6" s="6075"/>
      <c r="B6" s="6046"/>
      <c r="C6" s="430" t="s">
        <v>1464</v>
      </c>
      <c r="D6" s="430" t="s">
        <v>1617</v>
      </c>
      <c r="E6" s="430" t="s">
        <v>1618</v>
      </c>
      <c r="F6" s="430" t="s">
        <v>1464</v>
      </c>
      <c r="G6" s="430" t="s">
        <v>1617</v>
      </c>
      <c r="H6" s="430" t="s">
        <v>1618</v>
      </c>
      <c r="I6" s="430" t="s">
        <v>1464</v>
      </c>
      <c r="J6" s="430" t="s">
        <v>1617</v>
      </c>
      <c r="K6" s="430" t="s">
        <v>1618</v>
      </c>
      <c r="L6" s="6341"/>
      <c r="N6" s="382" t="s">
        <v>3138</v>
      </c>
      <c r="O6" s="382" t="s">
        <v>3139</v>
      </c>
      <c r="P6" s="382" t="s">
        <v>3140</v>
      </c>
      <c r="Q6" s="382" t="s">
        <v>3138</v>
      </c>
      <c r="R6" s="382" t="s">
        <v>3139</v>
      </c>
      <c r="S6" s="382" t="s">
        <v>3140</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19">
        <f>F8-C8</f>
        <v>-60000</v>
      </c>
      <c r="J8" s="4819">
        <f>G8-D8</f>
        <v>-6000</v>
      </c>
      <c r="K8" s="4819">
        <f>H8-E8</f>
        <v>-54000</v>
      </c>
      <c r="L8" s="2558"/>
      <c r="N8" s="4786">
        <f>+E8/90%</f>
        <v>60000</v>
      </c>
      <c r="O8" s="2510"/>
      <c r="P8" s="4787">
        <f t="shared" ref="P8:P19" si="0">+O8+N8</f>
        <v>60000</v>
      </c>
      <c r="Q8" s="4786">
        <f>+H8/90%</f>
        <v>0</v>
      </c>
      <c r="R8" s="2510"/>
      <c r="S8" s="4787">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20">
        <f t="shared" ref="I9:K19" si="3">F9-C9</f>
        <v>-290000</v>
      </c>
      <c r="J9" s="4820">
        <f t="shared" si="3"/>
        <v>-29000</v>
      </c>
      <c r="K9" s="4820">
        <f t="shared" si="3"/>
        <v>-261000</v>
      </c>
      <c r="L9" s="605"/>
      <c r="N9" s="4786">
        <f t="shared" ref="N9:N19" si="4">+E9/90%</f>
        <v>290000</v>
      </c>
      <c r="O9" s="2510"/>
      <c r="P9" s="4787">
        <f t="shared" si="0"/>
        <v>290000</v>
      </c>
      <c r="Q9" s="4786">
        <f t="shared" ref="Q9:Q19" si="5">+H9/90%</f>
        <v>0</v>
      </c>
      <c r="R9" s="2510"/>
      <c r="S9" s="4787">
        <f t="shared" ref="S9:S19" si="6">+R9+Q9</f>
        <v>0</v>
      </c>
    </row>
    <row r="10" spans="1:19" s="596" customFormat="1">
      <c r="A10" s="1016">
        <v>3</v>
      </c>
      <c r="B10" s="43" t="s">
        <v>812</v>
      </c>
      <c r="C10" s="2559">
        <v>30000</v>
      </c>
      <c r="D10" s="2559">
        <f t="shared" si="1"/>
        <v>3000</v>
      </c>
      <c r="E10" s="2559">
        <f t="shared" si="2"/>
        <v>27000</v>
      </c>
      <c r="F10" s="2559"/>
      <c r="G10" s="2559"/>
      <c r="H10" s="2559"/>
      <c r="I10" s="4820">
        <f t="shared" si="3"/>
        <v>-30000</v>
      </c>
      <c r="J10" s="4820">
        <f t="shared" si="3"/>
        <v>-3000</v>
      </c>
      <c r="K10" s="4820">
        <f t="shared" si="3"/>
        <v>-27000</v>
      </c>
      <c r="L10" s="605"/>
      <c r="N10" s="4786">
        <f>+E10/90%</f>
        <v>30000</v>
      </c>
      <c r="O10" s="2510"/>
      <c r="P10" s="4787">
        <f t="shared" si="0"/>
        <v>30000</v>
      </c>
      <c r="Q10" s="4786">
        <f t="shared" si="5"/>
        <v>0</v>
      </c>
      <c r="R10" s="2510"/>
      <c r="S10" s="4787">
        <f t="shared" si="6"/>
        <v>0</v>
      </c>
    </row>
    <row r="11" spans="1:19" s="596" customFormat="1">
      <c r="A11" s="1016">
        <v>4</v>
      </c>
      <c r="B11" s="43" t="s">
        <v>813</v>
      </c>
      <c r="C11" s="2559">
        <v>60000</v>
      </c>
      <c r="D11" s="2559">
        <f t="shared" si="1"/>
        <v>6000</v>
      </c>
      <c r="E11" s="2559">
        <f t="shared" si="2"/>
        <v>54000</v>
      </c>
      <c r="F11" s="2559"/>
      <c r="G11" s="2559"/>
      <c r="H11" s="2559"/>
      <c r="I11" s="4820">
        <f t="shared" si="3"/>
        <v>-60000</v>
      </c>
      <c r="J11" s="4820">
        <f t="shared" si="3"/>
        <v>-6000</v>
      </c>
      <c r="K11" s="4820">
        <f t="shared" si="3"/>
        <v>-54000</v>
      </c>
      <c r="L11" s="605"/>
      <c r="N11" s="4786">
        <f t="shared" si="4"/>
        <v>60000</v>
      </c>
      <c r="O11" s="2510"/>
      <c r="P11" s="4787">
        <f t="shared" si="0"/>
        <v>60000</v>
      </c>
      <c r="Q11" s="4786">
        <f t="shared" si="5"/>
        <v>0</v>
      </c>
      <c r="R11" s="2510"/>
      <c r="S11" s="4787">
        <f t="shared" si="6"/>
        <v>0</v>
      </c>
    </row>
    <row r="12" spans="1:19" s="596" customFormat="1">
      <c r="A12" s="1016">
        <v>5</v>
      </c>
      <c r="B12" s="43" t="s">
        <v>814</v>
      </c>
      <c r="C12" s="2559">
        <v>50000</v>
      </c>
      <c r="D12" s="2559">
        <f t="shared" si="1"/>
        <v>5000</v>
      </c>
      <c r="E12" s="2559">
        <f t="shared" si="2"/>
        <v>45000</v>
      </c>
      <c r="F12" s="2559"/>
      <c r="G12" s="2559"/>
      <c r="H12" s="2559"/>
      <c r="I12" s="4820">
        <f t="shared" si="3"/>
        <v>-50000</v>
      </c>
      <c r="J12" s="4820">
        <f t="shared" si="3"/>
        <v>-5000</v>
      </c>
      <c r="K12" s="4820">
        <f t="shared" si="3"/>
        <v>-45000</v>
      </c>
      <c r="L12" s="605"/>
      <c r="N12" s="4786">
        <f t="shared" si="4"/>
        <v>50000</v>
      </c>
      <c r="O12" s="2510"/>
      <c r="P12" s="4787">
        <f t="shared" si="0"/>
        <v>50000</v>
      </c>
      <c r="Q12" s="4786">
        <f t="shared" si="5"/>
        <v>0</v>
      </c>
      <c r="R12" s="2510"/>
      <c r="S12" s="4787">
        <f t="shared" si="6"/>
        <v>0</v>
      </c>
    </row>
    <row r="13" spans="1:19" s="596" customFormat="1">
      <c r="A13" s="1016">
        <v>6</v>
      </c>
      <c r="B13" s="43" t="s">
        <v>815</v>
      </c>
      <c r="C13" s="2559">
        <v>310000</v>
      </c>
      <c r="D13" s="2559">
        <f>C13-E13</f>
        <v>166000</v>
      </c>
      <c r="E13" s="2559">
        <f>160000*90%</f>
        <v>144000</v>
      </c>
      <c r="F13" s="2559"/>
      <c r="G13" s="2559"/>
      <c r="H13" s="2559"/>
      <c r="I13" s="4820">
        <f t="shared" si="3"/>
        <v>-310000</v>
      </c>
      <c r="J13" s="4820">
        <f>G13-D13</f>
        <v>-166000</v>
      </c>
      <c r="K13" s="4820">
        <f t="shared" si="3"/>
        <v>-144000</v>
      </c>
      <c r="L13" s="605"/>
      <c r="N13" s="4786">
        <f t="shared" si="4"/>
        <v>160000</v>
      </c>
      <c r="O13" s="4786">
        <v>150000</v>
      </c>
      <c r="P13" s="4787">
        <f t="shared" si="0"/>
        <v>310000</v>
      </c>
      <c r="Q13" s="4786">
        <f t="shared" si="5"/>
        <v>0</v>
      </c>
      <c r="R13" s="4787">
        <f>+O13</f>
        <v>150000</v>
      </c>
      <c r="S13" s="4787">
        <f t="shared" si="6"/>
        <v>150000</v>
      </c>
    </row>
    <row r="14" spans="1:19" s="596" customFormat="1">
      <c r="A14" s="1016">
        <v>7</v>
      </c>
      <c r="B14" s="43" t="s">
        <v>816</v>
      </c>
      <c r="C14" s="2559">
        <v>75000</v>
      </c>
      <c r="D14" s="2559">
        <f t="shared" si="1"/>
        <v>7500</v>
      </c>
      <c r="E14" s="2559">
        <f t="shared" ref="E14:E19" si="7">C14*90%</f>
        <v>67500</v>
      </c>
      <c r="F14" s="2559"/>
      <c r="G14" s="2559"/>
      <c r="H14" s="2559"/>
      <c r="I14" s="4820">
        <f t="shared" si="3"/>
        <v>-75000</v>
      </c>
      <c r="J14" s="4820">
        <f t="shared" si="3"/>
        <v>-7500</v>
      </c>
      <c r="K14" s="4820">
        <f t="shared" si="3"/>
        <v>-67500</v>
      </c>
      <c r="L14" s="605"/>
      <c r="N14" s="4786">
        <f t="shared" si="4"/>
        <v>75000</v>
      </c>
      <c r="O14" s="2510"/>
      <c r="P14" s="4787">
        <f t="shared" si="0"/>
        <v>75000</v>
      </c>
      <c r="Q14" s="4786">
        <f t="shared" si="5"/>
        <v>0</v>
      </c>
      <c r="R14" s="4787">
        <f t="shared" ref="R14:R18" si="8">+O14</f>
        <v>0</v>
      </c>
      <c r="S14" s="4787">
        <f t="shared" si="6"/>
        <v>0</v>
      </c>
    </row>
    <row r="15" spans="1:19" s="596" customFormat="1">
      <c r="A15" s="1016">
        <v>8</v>
      </c>
      <c r="B15" s="43" t="s">
        <v>258</v>
      </c>
      <c r="C15" s="2559">
        <v>100000</v>
      </c>
      <c r="D15" s="2559">
        <f t="shared" si="1"/>
        <v>10000</v>
      </c>
      <c r="E15" s="2559">
        <f t="shared" si="7"/>
        <v>90000</v>
      </c>
      <c r="F15" s="2559"/>
      <c r="G15" s="2559"/>
      <c r="H15" s="2559"/>
      <c r="I15" s="4820">
        <f t="shared" si="3"/>
        <v>-100000</v>
      </c>
      <c r="J15" s="4820">
        <f t="shared" si="3"/>
        <v>-10000</v>
      </c>
      <c r="K15" s="4820">
        <f t="shared" si="3"/>
        <v>-90000</v>
      </c>
      <c r="L15" s="605"/>
      <c r="N15" s="4786">
        <f t="shared" si="4"/>
        <v>100000</v>
      </c>
      <c r="O15" s="2510"/>
      <c r="P15" s="4787">
        <f t="shared" si="0"/>
        <v>100000</v>
      </c>
      <c r="Q15" s="4786">
        <f t="shared" si="5"/>
        <v>0</v>
      </c>
      <c r="R15" s="4787">
        <f t="shared" si="8"/>
        <v>0</v>
      </c>
      <c r="S15" s="4787">
        <f t="shared" si="6"/>
        <v>0</v>
      </c>
    </row>
    <row r="16" spans="1:19" s="596" customFormat="1">
      <c r="A16" s="1016">
        <v>9</v>
      </c>
      <c r="B16" s="43" t="s">
        <v>259</v>
      </c>
      <c r="C16" s="2559">
        <v>60000</v>
      </c>
      <c r="D16" s="2559">
        <f t="shared" si="1"/>
        <v>6000</v>
      </c>
      <c r="E16" s="2559">
        <f t="shared" si="7"/>
        <v>54000</v>
      </c>
      <c r="F16" s="2559"/>
      <c r="G16" s="2559"/>
      <c r="H16" s="2559"/>
      <c r="I16" s="4820">
        <f t="shared" si="3"/>
        <v>-60000</v>
      </c>
      <c r="J16" s="4820">
        <f t="shared" si="3"/>
        <v>-6000</v>
      </c>
      <c r="K16" s="4820">
        <f t="shared" si="3"/>
        <v>-54000</v>
      </c>
      <c r="L16" s="605"/>
      <c r="N16" s="4786">
        <f t="shared" si="4"/>
        <v>60000</v>
      </c>
      <c r="O16" s="2510"/>
      <c r="P16" s="4787">
        <f t="shared" si="0"/>
        <v>60000</v>
      </c>
      <c r="Q16" s="4786">
        <f t="shared" si="5"/>
        <v>0</v>
      </c>
      <c r="R16" s="4787">
        <f t="shared" si="8"/>
        <v>0</v>
      </c>
      <c r="S16" s="4787">
        <f t="shared" si="6"/>
        <v>0</v>
      </c>
    </row>
    <row r="17" spans="1:19" s="596" customFormat="1">
      <c r="A17" s="1016">
        <v>10</v>
      </c>
      <c r="B17" s="43" t="s">
        <v>818</v>
      </c>
      <c r="C17" s="2559">
        <v>70000</v>
      </c>
      <c r="D17" s="2559">
        <f t="shared" si="1"/>
        <v>7000</v>
      </c>
      <c r="E17" s="2559">
        <f t="shared" si="7"/>
        <v>63000</v>
      </c>
      <c r="F17" s="2559"/>
      <c r="G17" s="2559"/>
      <c r="H17" s="2559"/>
      <c r="I17" s="4820">
        <f t="shared" si="3"/>
        <v>-70000</v>
      </c>
      <c r="J17" s="4820">
        <f t="shared" si="3"/>
        <v>-7000</v>
      </c>
      <c r="K17" s="4820">
        <f t="shared" si="3"/>
        <v>-63000</v>
      </c>
      <c r="L17" s="605"/>
      <c r="N17" s="4786">
        <f t="shared" si="4"/>
        <v>70000</v>
      </c>
      <c r="O17" s="2510"/>
      <c r="P17" s="4787">
        <f t="shared" si="0"/>
        <v>70000</v>
      </c>
      <c r="Q17" s="4786">
        <f t="shared" si="5"/>
        <v>0</v>
      </c>
      <c r="R17" s="4787">
        <f t="shared" si="8"/>
        <v>0</v>
      </c>
      <c r="S17" s="4787">
        <f t="shared" si="6"/>
        <v>0</v>
      </c>
    </row>
    <row r="18" spans="1:19" s="596" customFormat="1">
      <c r="A18" s="1016">
        <v>11</v>
      </c>
      <c r="B18" s="43" t="s">
        <v>819</v>
      </c>
      <c r="C18" s="2559">
        <f>160000+350000-115000</f>
        <v>395000</v>
      </c>
      <c r="D18" s="2559">
        <f>C18-E18</f>
        <v>251000</v>
      </c>
      <c r="E18" s="2559">
        <f>160000*90%</f>
        <v>144000</v>
      </c>
      <c r="F18" s="2559"/>
      <c r="G18" s="2559"/>
      <c r="H18" s="2559"/>
      <c r="I18" s="4820">
        <f t="shared" si="3"/>
        <v>-395000</v>
      </c>
      <c r="J18" s="4820">
        <f t="shared" si="3"/>
        <v>-251000</v>
      </c>
      <c r="K18" s="4820">
        <f t="shared" si="3"/>
        <v>-144000</v>
      </c>
      <c r="L18" s="605"/>
      <c r="N18" s="4786">
        <f t="shared" si="4"/>
        <v>160000</v>
      </c>
      <c r="O18" s="4786">
        <v>350000</v>
      </c>
      <c r="P18" s="4787">
        <f t="shared" si="0"/>
        <v>510000</v>
      </c>
      <c r="Q18" s="4786">
        <f t="shared" si="5"/>
        <v>0</v>
      </c>
      <c r="R18" s="4787">
        <f t="shared" si="8"/>
        <v>350000</v>
      </c>
      <c r="S18" s="4787">
        <f t="shared" si="6"/>
        <v>350000</v>
      </c>
    </row>
    <row r="19" spans="1:19" s="596" customFormat="1">
      <c r="A19" s="1035">
        <v>12</v>
      </c>
      <c r="B19" s="2419" t="s">
        <v>262</v>
      </c>
      <c r="C19" s="2560">
        <v>100000</v>
      </c>
      <c r="D19" s="2560">
        <f t="shared" si="1"/>
        <v>10000</v>
      </c>
      <c r="E19" s="2560">
        <f t="shared" si="7"/>
        <v>90000</v>
      </c>
      <c r="F19" s="2560"/>
      <c r="G19" s="2560"/>
      <c r="H19" s="2560"/>
      <c r="I19" s="4821">
        <f t="shared" si="3"/>
        <v>-100000</v>
      </c>
      <c r="J19" s="4821">
        <f t="shared" si="3"/>
        <v>-10000</v>
      </c>
      <c r="K19" s="4821">
        <f t="shared" si="3"/>
        <v>-90000</v>
      </c>
      <c r="L19" s="2561"/>
      <c r="N19" s="4786">
        <f t="shared" si="4"/>
        <v>100000</v>
      </c>
      <c r="O19" s="2510"/>
      <c r="P19" s="4787">
        <f t="shared" si="0"/>
        <v>100000</v>
      </c>
      <c r="Q19" s="4786">
        <f t="shared" si="5"/>
        <v>0</v>
      </c>
      <c r="R19" s="2510"/>
      <c r="S19" s="4787">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22">
        <f t="shared" si="10"/>
        <v>-1600000</v>
      </c>
      <c r="J20" s="4822">
        <f t="shared" si="10"/>
        <v>-506500</v>
      </c>
      <c r="K20" s="4822">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3149</v>
      </c>
      <c r="D22" s="4823">
        <f>+C20*10%</f>
        <v>160000</v>
      </c>
      <c r="G22" s="4788"/>
      <c r="J22" s="2863"/>
    </row>
    <row r="23" spans="1:19">
      <c r="B23" s="381" t="s">
        <v>3150</v>
      </c>
      <c r="D23" s="4824">
        <f>+E20/90%</f>
        <v>1215000</v>
      </c>
    </row>
    <row r="24" spans="1:19">
      <c r="B24" s="381" t="s">
        <v>3151</v>
      </c>
      <c r="D24" s="4825">
        <f>D23*10%</f>
        <v>121500</v>
      </c>
    </row>
    <row r="25" spans="1:19">
      <c r="B25" s="381" t="s">
        <v>3152</v>
      </c>
      <c r="D25" s="4826">
        <f>1600000-D23</f>
        <v>385000</v>
      </c>
    </row>
    <row r="26" spans="1:19">
      <c r="B26" s="666" t="s">
        <v>3153</v>
      </c>
      <c r="D26" s="4826">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337" t="s">
        <v>3193</v>
      </c>
      <c r="B1" s="6337"/>
      <c r="C1" s="6337"/>
      <c r="D1" s="6337"/>
      <c r="E1" s="6337"/>
      <c r="F1" s="6337"/>
      <c r="G1" s="6337"/>
      <c r="H1" s="6337"/>
      <c r="I1" s="6337"/>
      <c r="J1" s="6337"/>
      <c r="K1" s="6337"/>
      <c r="L1" s="6337"/>
      <c r="M1" s="6337"/>
      <c r="N1" s="6337"/>
      <c r="O1" s="6337"/>
    </row>
    <row r="2" spans="1:15" ht="18.75" customHeight="1">
      <c r="A2" s="6327" t="str">
        <f>+'Phụ lục số 6'!A2:E2</f>
        <v>(Kèm theo Báo cáo số     462/BC-UBND ngày 22 tháng 11 năm 2024 của Ủy ban nhân dân tỉnh Đồng Tháp)</v>
      </c>
      <c r="B2" s="6327"/>
      <c r="C2" s="6327"/>
      <c r="D2" s="6327"/>
      <c r="E2" s="6327"/>
      <c r="F2" s="6327"/>
      <c r="G2" s="6327"/>
      <c r="H2" s="6327"/>
      <c r="I2" s="6327"/>
      <c r="J2" s="6327"/>
      <c r="K2" s="6327"/>
      <c r="L2" s="6327"/>
      <c r="M2" s="6327"/>
      <c r="N2" s="6327"/>
      <c r="O2" s="6327"/>
    </row>
    <row r="3" spans="1:15" ht="18.75" customHeight="1" thickBot="1">
      <c r="M3" s="6307" t="s">
        <v>638</v>
      </c>
      <c r="N3" s="6307"/>
      <c r="O3" s="6307"/>
    </row>
    <row r="4" spans="1:15" ht="52.8" thickTop="1">
      <c r="A4" s="5915" t="s">
        <v>136</v>
      </c>
      <c r="B4" s="4850" t="s">
        <v>810</v>
      </c>
      <c r="C4" s="5910" t="s">
        <v>220</v>
      </c>
      <c r="D4" s="5910" t="s">
        <v>811</v>
      </c>
      <c r="E4" s="5910" t="s">
        <v>252</v>
      </c>
      <c r="F4" s="5910" t="s">
        <v>812</v>
      </c>
      <c r="G4" s="5910" t="s">
        <v>813</v>
      </c>
      <c r="H4" s="5910" t="s">
        <v>814</v>
      </c>
      <c r="I4" s="5910" t="s">
        <v>815</v>
      </c>
      <c r="J4" s="5375" t="s">
        <v>816</v>
      </c>
      <c r="K4" s="5375" t="s">
        <v>817</v>
      </c>
      <c r="L4" s="5375" t="s">
        <v>259</v>
      </c>
      <c r="M4" s="5910" t="s">
        <v>818</v>
      </c>
      <c r="N4" s="5910" t="s">
        <v>819</v>
      </c>
      <c r="O4" s="5911" t="s">
        <v>820</v>
      </c>
    </row>
    <row r="5" spans="1:15" s="708" customFormat="1" ht="18.75" customHeight="1">
      <c r="A5" s="5049"/>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57">
        <f>SUM(O6,O10,O14,O15,O16)</f>
        <v>871518.47200000007</v>
      </c>
    </row>
    <row r="6" spans="1:15" s="708" customFormat="1" ht="18.75" customHeight="1">
      <c r="A6" s="5916" t="s">
        <v>3</v>
      </c>
      <c r="B6" s="701" t="s">
        <v>208</v>
      </c>
      <c r="C6" s="719">
        <f t="shared" ref="C6:O6" si="1">SUM(C8:C9)</f>
        <v>1683500</v>
      </c>
      <c r="D6" s="4827">
        <f>SUM(D8:D9)</f>
        <v>82000</v>
      </c>
      <c r="E6" s="4827">
        <f t="shared" si="1"/>
        <v>289000</v>
      </c>
      <c r="F6" s="4827">
        <f t="shared" si="1"/>
        <v>59000</v>
      </c>
      <c r="G6" s="4827">
        <f t="shared" si="1"/>
        <v>84000</v>
      </c>
      <c r="H6" s="4827">
        <f t="shared" si="1"/>
        <v>89000</v>
      </c>
      <c r="I6" s="4827">
        <f t="shared" si="1"/>
        <v>292000</v>
      </c>
      <c r="J6" s="4827">
        <f t="shared" si="1"/>
        <v>114500</v>
      </c>
      <c r="K6" s="4827">
        <f t="shared" si="1"/>
        <v>130000</v>
      </c>
      <c r="L6" s="4827">
        <f t="shared" si="1"/>
        <v>96000</v>
      </c>
      <c r="M6" s="719">
        <f t="shared" si="1"/>
        <v>98000</v>
      </c>
      <c r="N6" s="719">
        <f t="shared" si="1"/>
        <v>227000</v>
      </c>
      <c r="O6" s="4460">
        <f t="shared" si="1"/>
        <v>123000</v>
      </c>
    </row>
    <row r="7" spans="1:15" s="688" customFormat="1">
      <c r="A7" s="5917"/>
      <c r="B7" s="720" t="s">
        <v>822</v>
      </c>
      <c r="C7" s="721">
        <f t="shared" ref="C7:C13" si="2">SUM(D7:O7)</f>
        <v>0</v>
      </c>
      <c r="D7" s="4828"/>
      <c r="E7" s="4828"/>
      <c r="F7" s="4828"/>
      <c r="G7" s="4828"/>
      <c r="H7" s="4828"/>
      <c r="I7" s="4828"/>
      <c r="J7" s="4828"/>
      <c r="K7" s="4828"/>
      <c r="L7" s="4828"/>
      <c r="M7" s="721"/>
      <c r="N7" s="721"/>
      <c r="O7" s="5918"/>
    </row>
    <row r="8" spans="1:15" ht="18.75" customHeight="1">
      <c r="A8" s="5919">
        <v>1</v>
      </c>
      <c r="B8" s="722" t="s">
        <v>143</v>
      </c>
      <c r="C8" s="723">
        <f t="shared" si="2"/>
        <v>590000</v>
      </c>
      <c r="D8" s="4831">
        <f>+'Phụ lục số 8.1'!P27</f>
        <v>28000</v>
      </c>
      <c r="E8" s="4796">
        <f>+'Phụ lục số 8.1'!X27</f>
        <v>28000</v>
      </c>
      <c r="F8" s="4796">
        <f>+'Phụ lục số 8.1'!AF27</f>
        <v>32000</v>
      </c>
      <c r="G8" s="4796">
        <f>+'Phụ lục số 8.1'!AN27</f>
        <v>30000</v>
      </c>
      <c r="H8" s="4796">
        <f>+'Phụ lục số 8.1'!AV27</f>
        <v>44000</v>
      </c>
      <c r="I8" s="4831">
        <f>+'Phụ lục số 8.1'!BD27</f>
        <v>148000</v>
      </c>
      <c r="J8" s="4796">
        <f>+'Phụ lục số 8.1'!BL27</f>
        <v>47000</v>
      </c>
      <c r="K8" s="4796">
        <f>+'Phụ lục số 8.1'!BT27</f>
        <v>40000</v>
      </c>
      <c r="L8" s="4796">
        <f>+'Phụ lục số 8.1'!CB27</f>
        <v>42000</v>
      </c>
      <c r="M8" s="4796">
        <f>+'Phụ lục số 8.1'!CJ27</f>
        <v>35000</v>
      </c>
      <c r="N8" s="723">
        <f>+'Phụ lục số 8.1'!CR27</f>
        <v>83000</v>
      </c>
      <c r="O8" s="4471">
        <f>+'Phụ lục số 8.1'!CZ27</f>
        <v>33000</v>
      </c>
    </row>
    <row r="9" spans="1:15" ht="18.75" customHeight="1">
      <c r="A9" s="5919">
        <v>2</v>
      </c>
      <c r="B9" s="722" t="s">
        <v>144</v>
      </c>
      <c r="C9" s="723">
        <f>SUM(D9:O9)</f>
        <v>1093500</v>
      </c>
      <c r="D9" s="4796">
        <f>+'Phụ lục số 8.1'!P29</f>
        <v>54000</v>
      </c>
      <c r="E9" s="4796">
        <f>+'Phụ lục số 8.1'!X29</f>
        <v>261000</v>
      </c>
      <c r="F9" s="4796">
        <f>+'Phụ lục số 8.1'!AF29</f>
        <v>27000</v>
      </c>
      <c r="G9" s="4796">
        <f>+'Phụ lục số 8.1'!AN29</f>
        <v>54000</v>
      </c>
      <c r="H9" s="4796">
        <f>+'Phụ lục số 8.1'!AV29</f>
        <v>45000</v>
      </c>
      <c r="I9" s="4796">
        <f>+'Phụ lục số 8.1'!BD29</f>
        <v>144000</v>
      </c>
      <c r="J9" s="4796">
        <f>+'Phụ lục số 8.1'!BL29</f>
        <v>67500</v>
      </c>
      <c r="K9" s="4796">
        <f>+'Phụ lục số 8.1'!BT29</f>
        <v>90000</v>
      </c>
      <c r="L9" s="4796">
        <f>+'Phụ lục số 8.1'!CB29</f>
        <v>54000</v>
      </c>
      <c r="M9" s="4796">
        <f>+'Phụ lục số 8.1'!CJ29</f>
        <v>63000</v>
      </c>
      <c r="N9" s="723">
        <f>+'Phụ lục số 8.1'!CR29</f>
        <v>144000</v>
      </c>
      <c r="O9" s="4471">
        <f>+'Phụ lục số 8.1'!CZ29</f>
        <v>90000</v>
      </c>
    </row>
    <row r="10" spans="1:15" s="708" customFormat="1" ht="18.75" customHeight="1">
      <c r="A10" s="5916" t="s">
        <v>33</v>
      </c>
      <c r="B10" s="701" t="s">
        <v>823</v>
      </c>
      <c r="C10" s="4797">
        <f>SUM(D10:O10)</f>
        <v>9081425.3570000008</v>
      </c>
      <c r="D10" s="4827">
        <f>+'Phụ lục số 8.1'!P30-D17-D18-D19-D20-D21</f>
        <v>684403.33196736372</v>
      </c>
      <c r="E10" s="4827">
        <f>+'Phụ lục số 8.1'!X30-E17-E18-E19-E20-E21</f>
        <v>452281.24502259243</v>
      </c>
      <c r="F10" s="4827">
        <f>+'Phụ lục số 8.1'!AF30-F17-F18-F19-F20-F21</f>
        <v>621134.09320536687</v>
      </c>
      <c r="G10" s="719">
        <f>+'Phụ lục số 8.1'!AN30-G17-G18-G19-G20-G21</f>
        <v>660673.11116281548</v>
      </c>
      <c r="H10" s="719">
        <f>+'Phụ lục số 8.1'!AV30-H17-H18-H19-H20-H21</f>
        <v>822292.80711051729</v>
      </c>
      <c r="I10" s="4827">
        <f>+'Phụ lục số 8.1'!BD30-I17-I18-I19-I20-I21</f>
        <v>996810.69394587737</v>
      </c>
      <c r="J10" s="4827">
        <f>+'Phụ lục số 8.1'!BL30-J17-J18-J19-J20-J21</f>
        <v>1019433.2963639069</v>
      </c>
      <c r="K10" s="4827">
        <f>+'Phụ lục số 8.1'!BT30-K17-K18-K19-K20-K21</f>
        <v>838525.81847331277</v>
      </c>
      <c r="L10" s="4827">
        <f>+'Phụ lục số 8.1'!CB30-L17-L18-L19-L20-L21</f>
        <v>865247.91131489223</v>
      </c>
      <c r="M10" s="4827">
        <f>+'Phụ lục số 8.1'!CJ30-M17-M18-M19-M20-M21</f>
        <v>758129.46580050304</v>
      </c>
      <c r="N10" s="4827">
        <f>+'Phụ lục số 8.1'!CR30-'Phụ lục số 8'!N17-'Phụ lục số 8'!N18-'Phụ lục số 8'!N19-'Phụ lục số 8'!N20-'Phụ lục số 8'!N21</f>
        <v>650267.61575388303</v>
      </c>
      <c r="O10" s="5920">
        <f>+'Phụ lục số 8.1'!CZ30-O17-O18-O19-O20-O21</f>
        <v>712225.96687896887</v>
      </c>
    </row>
    <row r="11" spans="1:15" s="688" customFormat="1" ht="18.75" customHeight="1">
      <c r="A11" s="5921"/>
      <c r="B11" s="720" t="s">
        <v>822</v>
      </c>
      <c r="C11" s="721"/>
      <c r="D11" s="4828"/>
      <c r="E11" s="4828"/>
      <c r="F11" s="4828"/>
      <c r="G11" s="4828"/>
      <c r="H11" s="4828"/>
      <c r="I11" s="4828"/>
      <c r="J11" s="4828"/>
      <c r="K11" s="4828"/>
      <c r="L11" s="4828"/>
      <c r="M11" s="4828"/>
      <c r="N11" s="4828"/>
      <c r="O11" s="5922"/>
    </row>
    <row r="12" spans="1:15" s="708" customFormat="1" ht="18.75" customHeight="1">
      <c r="A12" s="5919">
        <v>1</v>
      </c>
      <c r="B12" s="704" t="s">
        <v>824</v>
      </c>
      <c r="C12" s="4798">
        <f t="shared" si="2"/>
        <v>4752863.0000000009</v>
      </c>
      <c r="D12" s="4796">
        <f>+'Phụ lục số 8.1'!P31</f>
        <v>400128</v>
      </c>
      <c r="E12" s="4796">
        <f>+'Phụ lục số 8.1'!X31</f>
        <v>232764.4</v>
      </c>
      <c r="F12" s="4796">
        <f>+'Phụ lục số 8.1'!AF31</f>
        <v>354771.20000000001</v>
      </c>
      <c r="G12" s="4796">
        <f>+'Phụ lục số 8.1'!AN31</f>
        <v>331568</v>
      </c>
      <c r="H12" s="4796">
        <f>+'Phụ lục số 8.1'!AV31</f>
        <v>448049</v>
      </c>
      <c r="I12" s="4796">
        <f>+'Phụ lục số 8.1'!BD31</f>
        <v>481230</v>
      </c>
      <c r="J12" s="4796">
        <f>+'Phụ lục số 8.1'!BL31</f>
        <v>538158.5</v>
      </c>
      <c r="K12" s="4796">
        <f>+'Phụ lục số 8.1'!BT31</f>
        <v>455069.2</v>
      </c>
      <c r="L12" s="4796">
        <f>+'Phụ lục số 8.1'!CB31</f>
        <v>451849.5</v>
      </c>
      <c r="M12" s="4796">
        <f>+'Phụ lục số 8.1'!CJ31</f>
        <v>415824.2</v>
      </c>
      <c r="N12" s="4796">
        <f>+'Phụ lục số 8.1'!CR31</f>
        <v>283567.59999999998</v>
      </c>
      <c r="O12" s="5923">
        <f>+'Phụ lục số 8.1'!CZ31</f>
        <v>359883.4</v>
      </c>
    </row>
    <row r="13" spans="1:15" ht="18.75" customHeight="1">
      <c r="A13" s="5919">
        <v>2</v>
      </c>
      <c r="B13" s="704" t="s">
        <v>740</v>
      </c>
      <c r="C13" s="4798">
        <f t="shared" si="2"/>
        <v>4328562.3569999998</v>
      </c>
      <c r="D13" s="4796">
        <f>D10-D12</f>
        <v>284275.33196736372</v>
      </c>
      <c r="E13" s="4796">
        <f>E10-E12</f>
        <v>219516.84502259243</v>
      </c>
      <c r="F13" s="4796">
        <f t="shared" ref="F13:O13" si="3">F10-F12</f>
        <v>266362.89320536685</v>
      </c>
      <c r="G13" s="4796">
        <f t="shared" si="3"/>
        <v>329105.11116281548</v>
      </c>
      <c r="H13" s="4796">
        <f t="shared" si="3"/>
        <v>374243.80711051729</v>
      </c>
      <c r="I13" s="4796">
        <f t="shared" si="3"/>
        <v>515580.69394587737</v>
      </c>
      <c r="J13" s="4796">
        <f t="shared" si="3"/>
        <v>481274.79636390693</v>
      </c>
      <c r="K13" s="4796">
        <f t="shared" si="3"/>
        <v>383456.61847331276</v>
      </c>
      <c r="L13" s="4796">
        <f t="shared" si="3"/>
        <v>413398.41131489223</v>
      </c>
      <c r="M13" s="4796">
        <f t="shared" si="3"/>
        <v>342305.26580050302</v>
      </c>
      <c r="N13" s="4796">
        <f t="shared" si="3"/>
        <v>366700.01575388305</v>
      </c>
      <c r="O13" s="5923">
        <f t="shared" si="3"/>
        <v>352342.56687896885</v>
      </c>
    </row>
    <row r="14" spans="1:15" s="708" customFormat="1" ht="18.75" customHeight="1">
      <c r="A14" s="5916" t="s">
        <v>182</v>
      </c>
      <c r="B14" s="701" t="s">
        <v>175</v>
      </c>
      <c r="C14" s="4797">
        <f t="shared" ref="C14:C21" si="4">SUM(D14:O14)</f>
        <v>212441.54999999996</v>
      </c>
      <c r="D14" s="4827">
        <f>+'Phụ lục số 8.1'!P33</f>
        <v>14837.9</v>
      </c>
      <c r="E14" s="4827">
        <f>+'Phụ lục số 8.1'!X33</f>
        <v>14699.4</v>
      </c>
      <c r="F14" s="4827">
        <f>+'Phụ lục số 8.1'!AF33</f>
        <v>12842.4</v>
      </c>
      <c r="G14" s="4827">
        <f>+'Phụ lục số 8.1'!AN33</f>
        <v>13989</v>
      </c>
      <c r="H14" s="4827">
        <f>+'Phụ lục số 8.1'!AV33</f>
        <v>17519</v>
      </c>
      <c r="I14" s="4827">
        <f>+'Phụ lục số 8.1'!BD33</f>
        <v>29340</v>
      </c>
      <c r="J14" s="4827">
        <f>+'Phụ lục số 8.1'!BL33</f>
        <v>21524.6</v>
      </c>
      <c r="K14" s="4827">
        <f>+'Phụ lục số 8.1'!BT33</f>
        <v>18131.05</v>
      </c>
      <c r="L14" s="4827">
        <f>+'Phụ lục số 8.1'!CB33</f>
        <v>18754.400000000001</v>
      </c>
      <c r="M14" s="4827">
        <f>+'Phụ lục số 8.1'!CJ33</f>
        <v>16783.400000000001</v>
      </c>
      <c r="N14" s="4827">
        <f>+'Phụ lục số 8.1'!CR33</f>
        <v>17717</v>
      </c>
      <c r="O14" s="5920">
        <f>+'Phụ lục số 8.1'!CZ33</f>
        <v>16303.4</v>
      </c>
    </row>
    <row r="15" spans="1:15" s="708" customFormat="1" ht="18.75" customHeight="1">
      <c r="A15" s="5924" t="s">
        <v>215</v>
      </c>
      <c r="B15" s="725" t="s">
        <v>176</v>
      </c>
      <c r="C15" s="4799">
        <f t="shared" si="4"/>
        <v>519900</v>
      </c>
      <c r="D15" s="4829">
        <f>+'Phụ lục số 8.1'!P35</f>
        <v>0</v>
      </c>
      <c r="E15" s="4829">
        <f>+'Phụ lục số 8.1'!X35</f>
        <v>0</v>
      </c>
      <c r="F15" s="4829">
        <f>+'Phụ lục số 8.1'!AF35</f>
        <v>0</v>
      </c>
      <c r="G15" s="4829">
        <f>+'Phụ lục số 8.1'!AN35</f>
        <v>0</v>
      </c>
      <c r="H15" s="4829">
        <f>+'Phụ lục số 8.1'!AV35</f>
        <v>0</v>
      </c>
      <c r="I15" s="4829">
        <f>+'Phụ lục số 8.1'!BD35</f>
        <v>479075</v>
      </c>
      <c r="J15" s="4829">
        <f>+'Phụ lục số 8.1'!BL35</f>
        <v>0</v>
      </c>
      <c r="K15" s="4829">
        <f>+'Phụ lục số 8.1'!BT35</f>
        <v>0</v>
      </c>
      <c r="L15" s="4829">
        <f>+'Phụ lục số 8.1'!CB35</f>
        <v>0</v>
      </c>
      <c r="M15" s="4829">
        <f>+'Phụ lục số 8.1'!CJ35</f>
        <v>0</v>
      </c>
      <c r="N15" s="4829">
        <f>+'Phụ lục số 8.1'!CR35</f>
        <v>40825</v>
      </c>
      <c r="O15" s="5925">
        <f>+'Phụ lục số 8.1'!CZ35</f>
        <v>0</v>
      </c>
    </row>
    <row r="16" spans="1:15" s="708" customFormat="1" ht="17.399999999999999">
      <c r="A16" s="5926" t="s">
        <v>718</v>
      </c>
      <c r="B16" s="694" t="s">
        <v>825</v>
      </c>
      <c r="C16" s="4800">
        <f>SUM(D16:O16)</f>
        <v>254385.00000000003</v>
      </c>
      <c r="D16" s="4830">
        <f>SUM(D17:D21)</f>
        <v>19302.758032636266</v>
      </c>
      <c r="E16" s="4830">
        <f t="shared" ref="E16:O16" si="5">SUM(E17:E21)</f>
        <v>11849.528977407539</v>
      </c>
      <c r="F16" s="4830">
        <f t="shared" si="5"/>
        <v>20399.725794633185</v>
      </c>
      <c r="G16" s="4830">
        <f t="shared" si="5"/>
        <v>19765.340837184594</v>
      </c>
      <c r="H16" s="4830">
        <f t="shared" si="5"/>
        <v>21624.418889482789</v>
      </c>
      <c r="I16" s="4830">
        <f t="shared" si="5"/>
        <v>17081.235054122637</v>
      </c>
      <c r="J16" s="4830">
        <f t="shared" si="5"/>
        <v>38318.724636092986</v>
      </c>
      <c r="K16" s="4830">
        <f t="shared" si="5"/>
        <v>28926.010526687096</v>
      </c>
      <c r="L16" s="4830">
        <f t="shared" si="5"/>
        <v>27607.515685107792</v>
      </c>
      <c r="M16" s="4830">
        <f t="shared" si="5"/>
        <v>18456.517199497026</v>
      </c>
      <c r="N16" s="4830">
        <f t="shared" si="5"/>
        <v>11064.119246116901</v>
      </c>
      <c r="O16" s="5927">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45"/>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45"/>
    </row>
    <row r="19" spans="1:15" s="597" customFormat="1" ht="18.75" customHeight="1">
      <c r="A19" s="4389" t="s">
        <v>29</v>
      </c>
      <c r="B19" s="44" t="s">
        <v>3253</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45">
        <f>+'Phụ lục số 8.1'!CZ18</f>
        <v>859</v>
      </c>
    </row>
    <row r="20" spans="1:15" s="728" customFormat="1" ht="18.75" customHeight="1">
      <c r="A20" s="5928" t="s">
        <v>29</v>
      </c>
      <c r="B20" s="44" t="s">
        <v>3271</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45">
        <f>+'Phụ lục số 8.1'!CZ77</f>
        <v>5250</v>
      </c>
    </row>
    <row r="21" spans="1:15" s="2750" customFormat="1" ht="18.75" customHeight="1" thickBot="1">
      <c r="A21" s="5929" t="s">
        <v>29</v>
      </c>
      <c r="B21" s="4912" t="s">
        <v>3243</v>
      </c>
      <c r="C21" s="5930">
        <f t="shared" si="4"/>
        <v>158210</v>
      </c>
      <c r="D21" s="5930">
        <f>+'Phụ lục số 8.3-CĐCS'!AC27</f>
        <v>13323.758032636268</v>
      </c>
      <c r="E21" s="5930">
        <f>+'Phụ lục số 8.3-CĐCS'!AQ27</f>
        <v>7377.52897740754</v>
      </c>
      <c r="F21" s="5930">
        <f>+'Phụ lục số 8.3-CĐCS'!BE27</f>
        <v>10435.725794633185</v>
      </c>
      <c r="G21" s="5930">
        <f>+'Phụ lục số 8.3-CĐCS'!BS27</f>
        <v>5301.3408371845935</v>
      </c>
      <c r="H21" s="5930">
        <f>+'Phụ lục số 8.3-CĐCS'!CG27</f>
        <v>10848.418889482789</v>
      </c>
      <c r="I21" s="5930">
        <f>+'Phụ lục số 8.3-CĐCS'!CU27</f>
        <v>14487.235054122637</v>
      </c>
      <c r="J21" s="5930">
        <f>+'Phụ lục số 8.3-CĐCS'!DI27</f>
        <v>24195.724636092982</v>
      </c>
      <c r="K21" s="5930">
        <f>+'Phụ lục số 8.3-CĐCS'!DW27</f>
        <v>11303.010526687096</v>
      </c>
      <c r="L21" s="5930">
        <f>+'Phụ lục số 8.3-CĐCS'!EK27</f>
        <v>23248.515685107792</v>
      </c>
      <c r="M21" s="5930">
        <f>+'Phụ lục số 8.3-CĐCS'!EY27</f>
        <v>14099.517199497026</v>
      </c>
      <c r="N21" s="5930">
        <f>+'Phụ lục số 8.3-CĐCS'!FM27</f>
        <v>9709.1192461169012</v>
      </c>
      <c r="O21" s="5931">
        <f>+'Phụ lục số 8.3-CĐCS'!GA27</f>
        <v>13880.105121031198</v>
      </c>
    </row>
    <row r="22" spans="1:15" ht="18.600000000000001" thickTop="1"/>
    <row r="23" spans="1:15" s="597" customFormat="1" hidden="1">
      <c r="A23" s="2863"/>
      <c r="C23" s="5248">
        <f>+(C16+C14+C10+C6+C15)*1000000</f>
        <v>11751651907000.002</v>
      </c>
      <c r="D23" s="5248">
        <f>+(D16+D14+D10+D6+D15)*1000000</f>
        <v>800543990000</v>
      </c>
      <c r="E23" s="5248">
        <f t="shared" ref="E23:O23" si="6">+(E16+E14+E10+E6+E15)*1000000</f>
        <v>767830173999.99988</v>
      </c>
      <c r="F23" s="5248">
        <f t="shared" si="6"/>
        <v>713376219000</v>
      </c>
      <c r="G23" s="5248">
        <f t="shared" si="6"/>
        <v>778427452000</v>
      </c>
      <c r="H23" s="5248">
        <f t="shared" si="6"/>
        <v>950436226000</v>
      </c>
      <c r="I23" s="5248">
        <f t="shared" si="6"/>
        <v>1814306929000</v>
      </c>
      <c r="J23" s="5248">
        <f t="shared" si="6"/>
        <v>1193776620999.9998</v>
      </c>
      <c r="K23" s="5248">
        <f t="shared" si="6"/>
        <v>1015582878999.9999</v>
      </c>
      <c r="L23" s="5248">
        <f t="shared" si="6"/>
        <v>1007609827000</v>
      </c>
      <c r="M23" s="5248">
        <f t="shared" si="6"/>
        <v>891369383000</v>
      </c>
      <c r="N23" s="5248">
        <f t="shared" si="6"/>
        <v>946873735000</v>
      </c>
      <c r="O23" s="5248">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643" t="s">
        <v>1485</v>
      </c>
      <c r="B1" s="6643"/>
      <c r="C1" s="6643"/>
      <c r="D1" s="6643"/>
      <c r="E1" s="6643"/>
      <c r="F1" s="6643"/>
      <c r="G1" s="6643"/>
      <c r="H1" s="6643"/>
      <c r="I1" s="6643"/>
      <c r="J1" s="6643"/>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79"/>
      <c r="BM3" s="2330"/>
      <c r="BN3" s="2330" t="s">
        <v>638</v>
      </c>
      <c r="BU3" s="2330"/>
      <c r="BV3" s="2330" t="s">
        <v>638</v>
      </c>
      <c r="CC3" s="2330"/>
      <c r="CD3" s="2330" t="s">
        <v>638</v>
      </c>
      <c r="CK3" s="2330"/>
      <c r="CL3" s="2330" t="s">
        <v>638</v>
      </c>
      <c r="CS3" s="2330"/>
      <c r="CT3" s="2330" t="s">
        <v>638</v>
      </c>
      <c r="DB3" s="2330" t="s">
        <v>638</v>
      </c>
    </row>
    <row r="4" spans="1:106" s="2331" customFormat="1">
      <c r="A4" s="6661" t="s">
        <v>247</v>
      </c>
      <c r="B4" s="6663" t="s">
        <v>1486</v>
      </c>
      <c r="C4" s="6665" t="s">
        <v>1008</v>
      </c>
      <c r="D4" s="6656"/>
      <c r="E4" s="6656"/>
      <c r="F4" s="6656"/>
      <c r="G4" s="6656"/>
      <c r="H4" s="6656"/>
      <c r="I4" s="6656"/>
      <c r="J4" s="6657"/>
      <c r="K4" s="6666" t="s">
        <v>1487</v>
      </c>
      <c r="L4" s="6667"/>
      <c r="M4" s="6667"/>
      <c r="N4" s="6667"/>
      <c r="O4" s="6667"/>
      <c r="P4" s="6667"/>
      <c r="Q4" s="6667"/>
      <c r="R4" s="6668"/>
      <c r="S4" s="6667" t="s">
        <v>1488</v>
      </c>
      <c r="T4" s="6667"/>
      <c r="U4" s="6667"/>
      <c r="V4" s="6667"/>
      <c r="W4" s="6667"/>
      <c r="X4" s="6667"/>
      <c r="Y4" s="6667"/>
      <c r="Z4" s="6668"/>
      <c r="AA4" s="6655" t="s">
        <v>1489</v>
      </c>
      <c r="AB4" s="6656"/>
      <c r="AC4" s="6656"/>
      <c r="AD4" s="6656"/>
      <c r="AE4" s="6656"/>
      <c r="AF4" s="6656"/>
      <c r="AG4" s="6656"/>
      <c r="AH4" s="6657"/>
      <c r="AI4" s="6655" t="s">
        <v>1490</v>
      </c>
      <c r="AJ4" s="6656"/>
      <c r="AK4" s="6656"/>
      <c r="AL4" s="6656"/>
      <c r="AM4" s="6656"/>
      <c r="AN4" s="6656"/>
      <c r="AO4" s="6656"/>
      <c r="AP4" s="6657"/>
      <c r="AQ4" s="6658" t="s">
        <v>1491</v>
      </c>
      <c r="AR4" s="6659"/>
      <c r="AS4" s="6659"/>
      <c r="AT4" s="6659"/>
      <c r="AU4" s="6659"/>
      <c r="AV4" s="6659"/>
      <c r="AW4" s="6659"/>
      <c r="AX4" s="6660"/>
      <c r="AY4" s="6655" t="s">
        <v>1492</v>
      </c>
      <c r="AZ4" s="6656"/>
      <c r="BA4" s="6656"/>
      <c r="BB4" s="6656"/>
      <c r="BC4" s="6656"/>
      <c r="BD4" s="6656"/>
      <c r="BE4" s="6656"/>
      <c r="BF4" s="6657"/>
      <c r="BG4" s="6655" t="s">
        <v>1493</v>
      </c>
      <c r="BH4" s="6656"/>
      <c r="BI4" s="6656"/>
      <c r="BJ4" s="6656"/>
      <c r="BK4" s="6656"/>
      <c r="BL4" s="6656"/>
      <c r="BM4" s="6656"/>
      <c r="BN4" s="6657"/>
      <c r="BO4" s="6655" t="s">
        <v>1494</v>
      </c>
      <c r="BP4" s="6656"/>
      <c r="BQ4" s="6656"/>
      <c r="BR4" s="6656"/>
      <c r="BS4" s="6656"/>
      <c r="BT4" s="6656"/>
      <c r="BU4" s="6656"/>
      <c r="BV4" s="6657"/>
      <c r="BW4" s="6655" t="s">
        <v>1495</v>
      </c>
      <c r="BX4" s="6656"/>
      <c r="BY4" s="6656"/>
      <c r="BZ4" s="6656"/>
      <c r="CA4" s="6656"/>
      <c r="CB4" s="6656"/>
      <c r="CC4" s="6656"/>
      <c r="CD4" s="6657"/>
      <c r="CE4" s="6655" t="s">
        <v>1496</v>
      </c>
      <c r="CF4" s="6656"/>
      <c r="CG4" s="6656"/>
      <c r="CH4" s="6656"/>
      <c r="CI4" s="6656"/>
      <c r="CJ4" s="6656"/>
      <c r="CK4" s="6656"/>
      <c r="CL4" s="6657"/>
      <c r="CM4" s="6655" t="s">
        <v>1497</v>
      </c>
      <c r="CN4" s="6656"/>
      <c r="CO4" s="6656"/>
      <c r="CP4" s="6656"/>
      <c r="CQ4" s="6656"/>
      <c r="CR4" s="6656"/>
      <c r="CS4" s="6656"/>
      <c r="CT4" s="6657"/>
      <c r="CU4" s="6655" t="s">
        <v>1498</v>
      </c>
      <c r="CV4" s="6656"/>
      <c r="CW4" s="6656"/>
      <c r="CX4" s="6656"/>
      <c r="CY4" s="6656"/>
      <c r="CZ4" s="6656"/>
      <c r="DA4" s="6656"/>
      <c r="DB4" s="6657"/>
    </row>
    <row r="5" spans="1:106" s="2332" customFormat="1" ht="17.399999999999999">
      <c r="A5" s="6662"/>
      <c r="B5" s="6664"/>
      <c r="C5" s="6648" t="s">
        <v>290</v>
      </c>
      <c r="D5" s="6649"/>
      <c r="E5" s="6650"/>
      <c r="F5" s="6648" t="s">
        <v>1122</v>
      </c>
      <c r="G5" s="6649"/>
      <c r="H5" s="6650"/>
      <c r="I5" s="6651" t="s">
        <v>1774</v>
      </c>
      <c r="J5" s="6646" t="s">
        <v>1775</v>
      </c>
      <c r="K5" s="6653" t="str">
        <f>C5</f>
        <v>NĂM 2024</v>
      </c>
      <c r="L5" s="6649"/>
      <c r="M5" s="6650"/>
      <c r="N5" s="6648" t="str">
        <f>F5</f>
        <v>DỰ TOÁN 2025</v>
      </c>
      <c r="O5" s="6649"/>
      <c r="P5" s="6650"/>
      <c r="Q5" s="6651" t="str">
        <f>I5</f>
        <v>DT2025/
DT2024
(Số tuyệt đối)</v>
      </c>
      <c r="R5" s="6646" t="str">
        <f>J5</f>
        <v>DT2025/
DT2024
(Số tương đối)</v>
      </c>
      <c r="S5" s="6650" t="str">
        <f>K5</f>
        <v>NĂM 2024</v>
      </c>
      <c r="T5" s="6664"/>
      <c r="U5" s="6664"/>
      <c r="V5" s="6664" t="str">
        <f>N5</f>
        <v>DỰ TOÁN 2025</v>
      </c>
      <c r="W5" s="6664"/>
      <c r="X5" s="6664"/>
      <c r="Y5" s="6651" t="str">
        <f>Q5</f>
        <v>DT2025/
DT2024
(Số tuyệt đối)</v>
      </c>
      <c r="Z5" s="6646" t="str">
        <f>R5</f>
        <v>DT2025/
DT2024
(Số tương đối)</v>
      </c>
      <c r="AA5" s="6653" t="str">
        <f>S5</f>
        <v>NĂM 2024</v>
      </c>
      <c r="AB5" s="6649"/>
      <c r="AC5" s="6650"/>
      <c r="AD5" s="6648" t="str">
        <f>V5</f>
        <v>DỰ TOÁN 2025</v>
      </c>
      <c r="AE5" s="6649"/>
      <c r="AF5" s="6650"/>
      <c r="AG5" s="6651" t="str">
        <f>Y5</f>
        <v>DT2025/
DT2024
(Số tuyệt đối)</v>
      </c>
      <c r="AH5" s="6646" t="str">
        <f>Z5</f>
        <v>DT2025/
DT2024
(Số tương đối)</v>
      </c>
      <c r="AI5" s="6653" t="str">
        <f>AA5</f>
        <v>NĂM 2024</v>
      </c>
      <c r="AJ5" s="6649"/>
      <c r="AK5" s="6650"/>
      <c r="AL5" s="6648" t="str">
        <f>AD5</f>
        <v>DỰ TOÁN 2025</v>
      </c>
      <c r="AM5" s="6649"/>
      <c r="AN5" s="6650"/>
      <c r="AO5" s="6651" t="str">
        <f>AG5</f>
        <v>DT2025/
DT2024
(Số tuyệt đối)</v>
      </c>
      <c r="AP5" s="6646" t="str">
        <f>AH5</f>
        <v>DT2025/
DT2024
(Số tương đối)</v>
      </c>
      <c r="AQ5" s="6653" t="str">
        <f>AI5</f>
        <v>NĂM 2024</v>
      </c>
      <c r="AR5" s="6649"/>
      <c r="AS5" s="6650"/>
      <c r="AT5" s="6648" t="str">
        <f>AL5</f>
        <v>DỰ TOÁN 2025</v>
      </c>
      <c r="AU5" s="6649"/>
      <c r="AV5" s="6650"/>
      <c r="AW5" s="6651" t="str">
        <f>AO5</f>
        <v>DT2025/
DT2024
(Số tuyệt đối)</v>
      </c>
      <c r="AX5" s="6646" t="str">
        <f>AP5</f>
        <v>DT2025/
DT2024
(Số tương đối)</v>
      </c>
      <c r="AY5" s="6653" t="str">
        <f>AQ5</f>
        <v>NĂM 2024</v>
      </c>
      <c r="AZ5" s="6649"/>
      <c r="BA5" s="6650"/>
      <c r="BB5" s="6648" t="str">
        <f>AT5</f>
        <v>DỰ TOÁN 2025</v>
      </c>
      <c r="BC5" s="6649"/>
      <c r="BD5" s="6650"/>
      <c r="BE5" s="6651" t="str">
        <f>AW5</f>
        <v>DT2025/
DT2024
(Số tuyệt đối)</v>
      </c>
      <c r="BF5" s="6646" t="str">
        <f>AX5</f>
        <v>DT2025/
DT2024
(Số tương đối)</v>
      </c>
      <c r="BG5" s="6653" t="str">
        <f>AY5</f>
        <v>NĂM 2024</v>
      </c>
      <c r="BH5" s="6649"/>
      <c r="BI5" s="6650"/>
      <c r="BJ5" s="6648" t="str">
        <f>BB5</f>
        <v>DỰ TOÁN 2025</v>
      </c>
      <c r="BK5" s="6649"/>
      <c r="BL5" s="6650"/>
      <c r="BM5" s="6651" t="str">
        <f>BE5</f>
        <v>DT2025/
DT2024
(Số tuyệt đối)</v>
      </c>
      <c r="BN5" s="6646" t="str">
        <f>BF5</f>
        <v>DT2025/
DT2024
(Số tương đối)</v>
      </c>
      <c r="BO5" s="6653" t="str">
        <f>BG5</f>
        <v>NĂM 2024</v>
      </c>
      <c r="BP5" s="6649"/>
      <c r="BQ5" s="6650"/>
      <c r="BR5" s="6648" t="str">
        <f>BJ5</f>
        <v>DỰ TOÁN 2025</v>
      </c>
      <c r="BS5" s="6649"/>
      <c r="BT5" s="6650"/>
      <c r="BU5" s="6651" t="str">
        <f>BM5</f>
        <v>DT2025/
DT2024
(Số tuyệt đối)</v>
      </c>
      <c r="BV5" s="6646" t="str">
        <f>BN5</f>
        <v>DT2025/
DT2024
(Số tương đối)</v>
      </c>
      <c r="BW5" s="6653" t="str">
        <f>BO5</f>
        <v>NĂM 2024</v>
      </c>
      <c r="BX5" s="6649"/>
      <c r="BY5" s="6650"/>
      <c r="BZ5" s="6648" t="str">
        <f>BR5</f>
        <v>DỰ TOÁN 2025</v>
      </c>
      <c r="CA5" s="6649"/>
      <c r="CB5" s="6650"/>
      <c r="CC5" s="6651" t="str">
        <f>BU5</f>
        <v>DT2025/
DT2024
(Số tuyệt đối)</v>
      </c>
      <c r="CD5" s="6646" t="str">
        <f>BV5</f>
        <v>DT2025/
DT2024
(Số tương đối)</v>
      </c>
      <c r="CE5" s="6653" t="str">
        <f>BW5</f>
        <v>NĂM 2024</v>
      </c>
      <c r="CF5" s="6649"/>
      <c r="CG5" s="6650"/>
      <c r="CH5" s="6648" t="str">
        <f>BZ5</f>
        <v>DỰ TOÁN 2025</v>
      </c>
      <c r="CI5" s="6649"/>
      <c r="CJ5" s="6650"/>
      <c r="CK5" s="6651" t="str">
        <f>CC5</f>
        <v>DT2025/
DT2024
(Số tuyệt đối)</v>
      </c>
      <c r="CL5" s="6646" t="str">
        <f>CD5</f>
        <v>DT2025/
DT2024
(Số tương đối)</v>
      </c>
      <c r="CM5" s="6653" t="str">
        <f>CE5</f>
        <v>NĂM 2024</v>
      </c>
      <c r="CN5" s="6649"/>
      <c r="CO5" s="6650"/>
      <c r="CP5" s="6648" t="str">
        <f>CH5</f>
        <v>DỰ TOÁN 2025</v>
      </c>
      <c r="CQ5" s="6649"/>
      <c r="CR5" s="6650"/>
      <c r="CS5" s="6651" t="str">
        <f>CK5</f>
        <v>DT2025/
DT2024
(Số tuyệt đối)</v>
      </c>
      <c r="CT5" s="6646" t="str">
        <f>CL5</f>
        <v>DT2025/
DT2024
(Số tương đối)</v>
      </c>
      <c r="CU5" s="6653" t="str">
        <f>CM5</f>
        <v>NĂM 2024</v>
      </c>
      <c r="CV5" s="6649"/>
      <c r="CW5" s="6650"/>
      <c r="CX5" s="6648" t="str">
        <f>CP5</f>
        <v>DỰ TOÁN 2025</v>
      </c>
      <c r="CY5" s="6649"/>
      <c r="CZ5" s="6650"/>
      <c r="DA5" s="6651" t="str">
        <f>CS5</f>
        <v>DT2025/
DT2024
(Số tuyệt đối)</v>
      </c>
      <c r="DB5" s="6646" t="str">
        <f>CT5</f>
        <v>DT2025/
DT2024
(Số tương đối)</v>
      </c>
    </row>
    <row r="6" spans="1:106" s="2332" customFormat="1" ht="251.4" customHeight="1">
      <c r="A6" s="6662"/>
      <c r="B6" s="6664"/>
      <c r="C6" s="2333" t="s">
        <v>1499</v>
      </c>
      <c r="D6" s="2333" t="s">
        <v>1500</v>
      </c>
      <c r="E6" s="2333" t="s">
        <v>120</v>
      </c>
      <c r="F6" s="2333" t="s">
        <v>1501</v>
      </c>
      <c r="G6" s="2333" t="s">
        <v>1772</v>
      </c>
      <c r="H6" s="2333" t="s">
        <v>1773</v>
      </c>
      <c r="I6" s="6652"/>
      <c r="J6" s="6647"/>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652"/>
      <c r="R6" s="6647"/>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652"/>
      <c r="Z6" s="6647"/>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652"/>
      <c r="AH6" s="6647"/>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652"/>
      <c r="AP6" s="6647"/>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652"/>
      <c r="AX6" s="6647"/>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652"/>
      <c r="BF6" s="6647"/>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652"/>
      <c r="BN6" s="6647"/>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652"/>
      <c r="BV6" s="6647"/>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652"/>
      <c r="CD6" s="6647"/>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652"/>
      <c r="CL6" s="6647"/>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652"/>
      <c r="CT6" s="6647"/>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652"/>
      <c r="DB6" s="6647"/>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1851</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2292</v>
      </c>
      <c r="B14" s="5198"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13">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13">
        <f>CX14+5528.22</f>
        <v>12728.220000000001</v>
      </c>
      <c r="DA14" s="2873"/>
      <c r="DB14" s="2874"/>
    </row>
    <row r="15" spans="1:106" s="2877" customFormat="1" ht="69.599999999999994">
      <c r="A15" s="2871" t="s">
        <v>2294</v>
      </c>
      <c r="B15" s="4838"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46" customFormat="1">
      <c r="A16" s="4839" t="s">
        <v>3157</v>
      </c>
      <c r="B16" s="5185" t="s">
        <v>3234</v>
      </c>
      <c r="C16" s="2375">
        <f t="shared" si="41"/>
        <v>0</v>
      </c>
      <c r="D16" s="2375"/>
      <c r="E16" s="2375">
        <f t="shared" si="42"/>
        <v>0</v>
      </c>
      <c r="F16" s="2375">
        <f t="shared" si="28"/>
        <v>0</v>
      </c>
      <c r="G16" s="2375"/>
      <c r="H16" s="4813">
        <f>SUM(P16,X16,AF16,AN16,AV16,BD16,BL16,BT16,CB16,CJ16,CR16,CZ16)</f>
        <v>42185.549000000006</v>
      </c>
      <c r="I16" s="4841">
        <f>F16-C16</f>
        <v>0</v>
      </c>
      <c r="J16" s="4842"/>
      <c r="K16" s="4843"/>
      <c r="L16" s="2375"/>
      <c r="M16" s="2375">
        <f t="shared" ref="M16:M23" si="55">K16+L16</f>
        <v>0</v>
      </c>
      <c r="N16" s="3015"/>
      <c r="O16" s="2375"/>
      <c r="P16" s="4813">
        <f>2689.2</f>
        <v>2689.2</v>
      </c>
      <c r="Q16" s="4841"/>
      <c r="R16" s="4842"/>
      <c r="S16" s="4844"/>
      <c r="T16" s="2375"/>
      <c r="U16" s="2375">
        <f t="shared" si="45"/>
        <v>0</v>
      </c>
      <c r="V16" s="2375">
        <f>S16</f>
        <v>0</v>
      </c>
      <c r="W16" s="2375"/>
      <c r="X16" s="4813">
        <f>2182.164</f>
        <v>2182.1640000000002</v>
      </c>
      <c r="Y16" s="4841"/>
      <c r="Z16" s="4842"/>
      <c r="AA16" s="4843"/>
      <c r="AB16" s="2375"/>
      <c r="AC16" s="2375">
        <f t="shared" si="46"/>
        <v>0</v>
      </c>
      <c r="AD16" s="3015">
        <f>AA16</f>
        <v>0</v>
      </c>
      <c r="AE16" s="2375"/>
      <c r="AF16" s="4813">
        <f>2426.765</f>
        <v>2426.7649999999999</v>
      </c>
      <c r="AG16" s="4841"/>
      <c r="AH16" s="4842"/>
      <c r="AI16" s="4843"/>
      <c r="AJ16" s="2375"/>
      <c r="AK16" s="2375">
        <f t="shared" si="47"/>
        <v>0</v>
      </c>
      <c r="AL16" s="2375">
        <f>AI16</f>
        <v>0</v>
      </c>
      <c r="AM16" s="2375"/>
      <c r="AN16" s="4813">
        <f>3550.502</f>
        <v>3550.502</v>
      </c>
      <c r="AO16" s="4841"/>
      <c r="AP16" s="4842"/>
      <c r="AQ16" s="4843"/>
      <c r="AR16" s="2375"/>
      <c r="AS16" s="2375">
        <f t="shared" si="48"/>
        <v>0</v>
      </c>
      <c r="AT16" s="2375"/>
      <c r="AU16" s="2375"/>
      <c r="AV16" s="4813">
        <f>4152.654</f>
        <v>4152.6540000000005</v>
      </c>
      <c r="AW16" s="4845">
        <f t="shared" si="44"/>
        <v>0</v>
      </c>
      <c r="AX16" s="4842"/>
      <c r="AY16" s="4843"/>
      <c r="AZ16" s="2375"/>
      <c r="BA16" s="2375">
        <f t="shared" si="49"/>
        <v>0</v>
      </c>
      <c r="BB16" s="2375"/>
      <c r="BC16" s="2375"/>
      <c r="BD16" s="4813">
        <f>4595.569</f>
        <v>4595.5690000000004</v>
      </c>
      <c r="BE16" s="4841"/>
      <c r="BF16" s="4842"/>
      <c r="BG16" s="4843"/>
      <c r="BH16" s="2375"/>
      <c r="BI16" s="2375">
        <f t="shared" si="50"/>
        <v>0</v>
      </c>
      <c r="BJ16" s="2375">
        <f>+BG16</f>
        <v>0</v>
      </c>
      <c r="BK16" s="2375"/>
      <c r="BL16" s="4813">
        <f>5034.659</f>
        <v>5034.6589999999997</v>
      </c>
      <c r="BM16" s="4841"/>
      <c r="BN16" s="4842"/>
      <c r="BO16" s="4843"/>
      <c r="BP16" s="2375"/>
      <c r="BQ16" s="2375">
        <f t="shared" si="51"/>
        <v>0</v>
      </c>
      <c r="BR16" s="2375">
        <f>BO16</f>
        <v>0</v>
      </c>
      <c r="BS16" s="2375"/>
      <c r="BT16" s="4813">
        <f>3612.249</f>
        <v>3612.2489999999998</v>
      </c>
      <c r="BU16" s="4841"/>
      <c r="BV16" s="4842"/>
      <c r="BW16" s="4843"/>
      <c r="BX16" s="2375"/>
      <c r="BY16" s="2375">
        <f t="shared" si="52"/>
        <v>0</v>
      </c>
      <c r="BZ16" s="2375">
        <f>BW16</f>
        <v>0</v>
      </c>
      <c r="CA16" s="2375"/>
      <c r="CB16" s="4813">
        <f>4235.437</f>
        <v>4235.4369999999999</v>
      </c>
      <c r="CC16" s="4841"/>
      <c r="CD16" s="4842"/>
      <c r="CE16" s="4843"/>
      <c r="CF16" s="2375"/>
      <c r="CG16" s="2375">
        <f t="shared" si="53"/>
        <v>0</v>
      </c>
      <c r="CH16" s="2375">
        <f>+CE16</f>
        <v>0</v>
      </c>
      <c r="CI16" s="2375"/>
      <c r="CJ16" s="4813">
        <f>3362.563</f>
        <v>3362.5630000000001</v>
      </c>
      <c r="CK16" s="4841"/>
      <c r="CL16" s="4842"/>
      <c r="CM16" s="4843"/>
      <c r="CN16" s="2375"/>
      <c r="CO16" s="2375">
        <f t="shared" si="54"/>
        <v>0</v>
      </c>
      <c r="CP16" s="2375"/>
      <c r="CQ16" s="2375"/>
      <c r="CR16" s="4813">
        <f>3350.315</f>
        <v>3350.3150000000001</v>
      </c>
      <c r="CS16" s="4841"/>
      <c r="CT16" s="4842"/>
      <c r="CU16" s="4843"/>
      <c r="CV16" s="2375"/>
      <c r="CW16" s="2375">
        <f>CU16+CV16</f>
        <v>0</v>
      </c>
      <c r="CX16" s="2375">
        <f>CU16</f>
        <v>0</v>
      </c>
      <c r="CY16" s="2375"/>
      <c r="CZ16" s="4813">
        <f>2993.472</f>
        <v>2993.4720000000002</v>
      </c>
      <c r="DA16" s="4841"/>
      <c r="DB16" s="4842"/>
    </row>
    <row r="17" spans="1:112" s="2877" customFormat="1" ht="34.799999999999997">
      <c r="A17" s="2871" t="s">
        <v>3158</v>
      </c>
      <c r="B17" s="4837"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06">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31" t="s">
        <v>3252</v>
      </c>
      <c r="C18" s="2872"/>
      <c r="D18" s="2872"/>
      <c r="E18" s="2872"/>
      <c r="F18" s="2872">
        <f t="shared" si="28"/>
        <v>0</v>
      </c>
      <c r="G18" s="2872"/>
      <c r="H18" s="2364">
        <f t="shared" si="28"/>
        <v>11626</v>
      </c>
      <c r="I18" s="2873"/>
      <c r="J18" s="2874"/>
      <c r="K18" s="2875"/>
      <c r="L18" s="2872"/>
      <c r="M18" s="2872"/>
      <c r="N18" s="2985"/>
      <c r="O18" s="2872"/>
      <c r="P18" s="2377">
        <v>1229</v>
      </c>
      <c r="Q18" s="2873"/>
      <c r="R18" s="2874"/>
      <c r="S18" s="4806"/>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46" customFormat="1">
      <c r="A19" s="4839" t="s">
        <v>3159</v>
      </c>
      <c r="B19" s="4840" t="s">
        <v>1509</v>
      </c>
      <c r="C19" s="2375">
        <f t="shared" si="41"/>
        <v>8000</v>
      </c>
      <c r="D19" s="2375"/>
      <c r="E19" s="2375">
        <f t="shared" si="42"/>
        <v>8000</v>
      </c>
      <c r="F19" s="2375">
        <f t="shared" si="28"/>
        <v>0</v>
      </c>
      <c r="G19" s="2375"/>
      <c r="H19" s="2375">
        <f t="shared" si="28"/>
        <v>0</v>
      </c>
      <c r="I19" s="4841">
        <f t="shared" si="43"/>
        <v>-8000</v>
      </c>
      <c r="J19" s="4842"/>
      <c r="K19" s="4843">
        <v>0</v>
      </c>
      <c r="L19" s="2375"/>
      <c r="M19" s="2375">
        <f t="shared" si="55"/>
        <v>0</v>
      </c>
      <c r="N19" s="2375">
        <f>167910000/100000-167910000/100000</f>
        <v>0</v>
      </c>
      <c r="O19" s="2375"/>
      <c r="P19" s="2375">
        <f t="shared" ref="P19:P21" si="56">N19</f>
        <v>0</v>
      </c>
      <c r="Q19" s="4841"/>
      <c r="R19" s="4842"/>
      <c r="S19" s="4844">
        <v>2000</v>
      </c>
      <c r="T19" s="2375"/>
      <c r="U19" s="2375">
        <f t="shared" si="45"/>
        <v>2000</v>
      </c>
      <c r="V19" s="2375"/>
      <c r="W19" s="2375"/>
      <c r="X19" s="2375">
        <f t="shared" ref="X19:X21" si="57">V19</f>
        <v>0</v>
      </c>
      <c r="Y19" s="4841"/>
      <c r="Z19" s="4842"/>
      <c r="AA19" s="4843"/>
      <c r="AB19" s="2375"/>
      <c r="AC19" s="2375">
        <f t="shared" si="46"/>
        <v>0</v>
      </c>
      <c r="AD19" s="2375">
        <f>464-464</f>
        <v>0</v>
      </c>
      <c r="AE19" s="2375"/>
      <c r="AF19" s="2375">
        <f t="shared" ref="AF19:AF22" si="58">AD19</f>
        <v>0</v>
      </c>
      <c r="AG19" s="4841"/>
      <c r="AH19" s="4842"/>
      <c r="AI19" s="4843"/>
      <c r="AJ19" s="2375"/>
      <c r="AK19" s="2375">
        <f t="shared" si="47"/>
        <v>0</v>
      </c>
      <c r="AL19" s="2375">
        <f>729-729</f>
        <v>0</v>
      </c>
      <c r="AM19" s="2375"/>
      <c r="AN19" s="2375">
        <f t="shared" ref="AN19" si="59">AL19</f>
        <v>0</v>
      </c>
      <c r="AO19" s="4841"/>
      <c r="AP19" s="4842"/>
      <c r="AQ19" s="4843"/>
      <c r="AR19" s="2375"/>
      <c r="AS19" s="2375">
        <f t="shared" si="48"/>
        <v>0</v>
      </c>
      <c r="AT19" s="2375">
        <f>723-723</f>
        <v>0</v>
      </c>
      <c r="AU19" s="2375"/>
      <c r="AV19" s="2375">
        <f t="shared" ref="AV19" si="60">AT19</f>
        <v>0</v>
      </c>
      <c r="AW19" s="4845">
        <f t="shared" si="44"/>
        <v>0</v>
      </c>
      <c r="AX19" s="4842"/>
      <c r="AY19" s="4843"/>
      <c r="AZ19" s="2375"/>
      <c r="BA19" s="2375">
        <f t="shared" si="49"/>
        <v>0</v>
      </c>
      <c r="BB19" s="2375">
        <f>518-518</f>
        <v>0</v>
      </c>
      <c r="BC19" s="2375"/>
      <c r="BD19" s="2375">
        <f t="shared" ref="BD19:BD21" si="61">BB19</f>
        <v>0</v>
      </c>
      <c r="BE19" s="4841"/>
      <c r="BF19" s="4842"/>
      <c r="BG19" s="4843"/>
      <c r="BH19" s="2375"/>
      <c r="BI19" s="2375">
        <f t="shared" si="50"/>
        <v>0</v>
      </c>
      <c r="BJ19" s="2375">
        <f>220-220</f>
        <v>0</v>
      </c>
      <c r="BK19" s="2375"/>
      <c r="BL19" s="2375">
        <f t="shared" ref="BL19:BL21" si="62">BJ19</f>
        <v>0</v>
      </c>
      <c r="BM19" s="4841"/>
      <c r="BN19" s="4842"/>
      <c r="BO19" s="4843"/>
      <c r="BP19" s="2375"/>
      <c r="BQ19" s="2375">
        <f t="shared" si="51"/>
        <v>0</v>
      </c>
      <c r="BR19" s="2375">
        <f>1011-1011</f>
        <v>0</v>
      </c>
      <c r="BS19" s="2375"/>
      <c r="BT19" s="2375">
        <f t="shared" ref="BT19:BT22" si="63">BR19</f>
        <v>0</v>
      </c>
      <c r="BU19" s="4841"/>
      <c r="BV19" s="4842"/>
      <c r="BW19" s="4843">
        <v>2000</v>
      </c>
      <c r="BX19" s="2375"/>
      <c r="BY19" s="2375">
        <f t="shared" si="52"/>
        <v>2000</v>
      </c>
      <c r="BZ19" s="2375"/>
      <c r="CA19" s="2375"/>
      <c r="CB19" s="2375">
        <f t="shared" ref="CB19" si="64">BZ19</f>
        <v>0</v>
      </c>
      <c r="CC19" s="4841"/>
      <c r="CD19" s="4842"/>
      <c r="CE19" s="4843">
        <v>2000</v>
      </c>
      <c r="CF19" s="2375"/>
      <c r="CG19" s="2375">
        <f t="shared" si="53"/>
        <v>2000</v>
      </c>
      <c r="CH19" s="2375"/>
      <c r="CI19" s="2375"/>
      <c r="CJ19" s="2375">
        <f t="shared" ref="CJ19:CJ22" si="65">CH19</f>
        <v>0</v>
      </c>
      <c r="CK19" s="4841"/>
      <c r="CL19" s="4842"/>
      <c r="CM19" s="4843"/>
      <c r="CN19" s="2375"/>
      <c r="CO19" s="2375">
        <f t="shared" si="54"/>
        <v>0</v>
      </c>
      <c r="CP19" s="2375">
        <f>441-441</f>
        <v>0</v>
      </c>
      <c r="CQ19" s="2375"/>
      <c r="CR19" s="2375">
        <f t="shared" ref="CR19:CR21" si="66">CP19</f>
        <v>0</v>
      </c>
      <c r="CS19" s="4841"/>
      <c r="CT19" s="4842"/>
      <c r="CU19" s="4843">
        <v>2000</v>
      </c>
      <c r="CV19" s="2375"/>
      <c r="CW19" s="2375">
        <f>CU19+CV19</f>
        <v>2000</v>
      </c>
      <c r="CX19" s="2375"/>
      <c r="CY19" s="2375"/>
      <c r="CZ19" s="2375">
        <f t="shared" ref="CZ19:CZ21" si="67">CX19</f>
        <v>0</v>
      </c>
      <c r="DA19" s="4841"/>
      <c r="DB19" s="4842"/>
    </row>
    <row r="20" spans="1:112" s="2369" customFormat="1" ht="34.799999999999997">
      <c r="A20" s="2362" t="s">
        <v>3160</v>
      </c>
      <c r="B20" s="5149" t="s">
        <v>3156</v>
      </c>
      <c r="C20" s="4833">
        <f t="shared" si="41"/>
        <v>0</v>
      </c>
      <c r="D20" s="4833"/>
      <c r="E20" s="4833">
        <f t="shared" si="42"/>
        <v>0</v>
      </c>
      <c r="F20" s="4833">
        <f t="shared" si="28"/>
        <v>0</v>
      </c>
      <c r="G20" s="4833"/>
      <c r="H20" s="4833">
        <f t="shared" si="28"/>
        <v>11295</v>
      </c>
      <c r="I20" s="4834">
        <f t="shared" si="43"/>
        <v>0</v>
      </c>
      <c r="J20" s="4835"/>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46" customFormat="1" ht="34.799999999999997">
      <c r="A21" s="5150" t="s">
        <v>3161</v>
      </c>
      <c r="B21" s="5148" t="s">
        <v>3223</v>
      </c>
      <c r="C21" s="2376">
        <f t="shared" si="41"/>
        <v>0</v>
      </c>
      <c r="D21" s="2376"/>
      <c r="E21" s="2376">
        <f t="shared" si="42"/>
        <v>0</v>
      </c>
      <c r="F21" s="2376">
        <f t="shared" si="28"/>
        <v>0</v>
      </c>
      <c r="G21" s="2376"/>
      <c r="H21" s="5151">
        <f t="shared" si="28"/>
        <v>852</v>
      </c>
      <c r="I21" s="4847">
        <f t="shared" si="43"/>
        <v>0</v>
      </c>
      <c r="J21" s="4848"/>
      <c r="K21" s="4843">
        <v>0</v>
      </c>
      <c r="L21" s="2375"/>
      <c r="M21" s="2375">
        <f t="shared" si="55"/>
        <v>0</v>
      </c>
      <c r="N21" s="2375"/>
      <c r="O21" s="2375"/>
      <c r="P21" s="2375">
        <f t="shared" si="56"/>
        <v>0</v>
      </c>
      <c r="Q21" s="4841">
        <f>N21-K21</f>
        <v>0</v>
      </c>
      <c r="R21" s="4842"/>
      <c r="S21" s="4844"/>
      <c r="T21" s="2375"/>
      <c r="U21" s="2375">
        <f t="shared" si="45"/>
        <v>0</v>
      </c>
      <c r="V21" s="2375"/>
      <c r="W21" s="2375"/>
      <c r="X21" s="2375">
        <f t="shared" si="57"/>
        <v>0</v>
      </c>
      <c r="Y21" s="4841">
        <f>V21-S21</f>
        <v>0</v>
      </c>
      <c r="Z21" s="4842"/>
      <c r="AA21" s="4843"/>
      <c r="AB21" s="2375"/>
      <c r="AC21" s="2375">
        <f t="shared" si="46"/>
        <v>0</v>
      </c>
      <c r="AD21" s="2375"/>
      <c r="AE21" s="2375"/>
      <c r="AF21" s="2375">
        <f t="shared" si="58"/>
        <v>0</v>
      </c>
      <c r="AG21" s="4841">
        <f>AD21-AA21</f>
        <v>0</v>
      </c>
      <c r="AH21" s="4842"/>
      <c r="AI21" s="4843"/>
      <c r="AJ21" s="2375"/>
      <c r="AK21" s="2375">
        <f t="shared" si="47"/>
        <v>0</v>
      </c>
      <c r="AL21" s="2375"/>
      <c r="AM21" s="2375"/>
      <c r="AN21" s="2377">
        <v>235</v>
      </c>
      <c r="AO21" s="4841">
        <f>AL21-AI21</f>
        <v>0</v>
      </c>
      <c r="AP21" s="4842"/>
      <c r="AQ21" s="4843"/>
      <c r="AR21" s="2375"/>
      <c r="AS21" s="2375">
        <f t="shared" si="48"/>
        <v>0</v>
      </c>
      <c r="AT21" s="2375"/>
      <c r="AU21" s="2375"/>
      <c r="AV21" s="2377">
        <v>142</v>
      </c>
      <c r="AW21" s="4845">
        <f t="shared" si="44"/>
        <v>0</v>
      </c>
      <c r="AX21" s="4842"/>
      <c r="AY21" s="4843"/>
      <c r="AZ21" s="2375"/>
      <c r="BA21" s="2375">
        <f t="shared" si="49"/>
        <v>0</v>
      </c>
      <c r="BB21" s="2375"/>
      <c r="BC21" s="2375"/>
      <c r="BD21" s="2375">
        <f t="shared" si="61"/>
        <v>0</v>
      </c>
      <c r="BE21" s="4841">
        <f>BB21-AY21</f>
        <v>0</v>
      </c>
      <c r="BF21" s="4842"/>
      <c r="BG21" s="4843">
        <v>0</v>
      </c>
      <c r="BH21" s="2375"/>
      <c r="BI21" s="2375">
        <f t="shared" si="50"/>
        <v>0</v>
      </c>
      <c r="BJ21" s="2375"/>
      <c r="BK21" s="2375"/>
      <c r="BL21" s="2375">
        <f t="shared" si="62"/>
        <v>0</v>
      </c>
      <c r="BM21" s="4841">
        <f>BJ21-BG21</f>
        <v>0</v>
      </c>
      <c r="BN21" s="4842"/>
      <c r="BO21" s="4843">
        <v>0</v>
      </c>
      <c r="BP21" s="2375"/>
      <c r="BQ21" s="2375">
        <f t="shared" si="51"/>
        <v>0</v>
      </c>
      <c r="BR21" s="2375"/>
      <c r="BS21" s="2375"/>
      <c r="BT21" s="2375">
        <f t="shared" si="63"/>
        <v>0</v>
      </c>
      <c r="BU21" s="4841">
        <f>BR21-BO21</f>
        <v>0</v>
      </c>
      <c r="BV21" s="4842"/>
      <c r="BW21" s="4843"/>
      <c r="BX21" s="2375"/>
      <c r="BY21" s="2375">
        <f t="shared" si="52"/>
        <v>0</v>
      </c>
      <c r="BZ21" s="2375"/>
      <c r="CA21" s="2375"/>
      <c r="CB21" s="2377">
        <v>475</v>
      </c>
      <c r="CC21" s="4841">
        <f>BZ21-BW21</f>
        <v>0</v>
      </c>
      <c r="CD21" s="4842"/>
      <c r="CE21" s="4843"/>
      <c r="CF21" s="2375"/>
      <c r="CG21" s="2375">
        <f t="shared" si="53"/>
        <v>0</v>
      </c>
      <c r="CH21" s="2375"/>
      <c r="CI21" s="2375"/>
      <c r="CJ21" s="2375">
        <f t="shared" si="65"/>
        <v>0</v>
      </c>
      <c r="CK21" s="4841">
        <f>CH21-CE21</f>
        <v>0</v>
      </c>
      <c r="CL21" s="4842"/>
      <c r="CM21" s="4843"/>
      <c r="CN21" s="2375"/>
      <c r="CO21" s="2375">
        <f t="shared" si="54"/>
        <v>0</v>
      </c>
      <c r="CP21" s="2375"/>
      <c r="CQ21" s="2375"/>
      <c r="CR21" s="2375">
        <f t="shared" si="66"/>
        <v>0</v>
      </c>
      <c r="CS21" s="4841">
        <f>CP21-CM21</f>
        <v>0</v>
      </c>
      <c r="CT21" s="4842"/>
      <c r="CU21" s="4843"/>
      <c r="CV21" s="2375"/>
      <c r="CW21" s="2375">
        <f t="shared" si="68"/>
        <v>0</v>
      </c>
      <c r="CX21" s="2375"/>
      <c r="CY21" s="2375"/>
      <c r="CZ21" s="2375">
        <f t="shared" si="67"/>
        <v>0</v>
      </c>
      <c r="DA21" s="4841">
        <f>CX21-CU21</f>
        <v>0</v>
      </c>
      <c r="DB21" s="4842"/>
    </row>
    <row r="22" spans="1:112" s="2877" customFormat="1">
      <c r="A22" s="2871" t="s">
        <v>3162</v>
      </c>
      <c r="B22" s="4836"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12">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12">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07">
        <f>+'[2]H. HỒNG NGỰ'!$C$47</f>
        <v>36493</v>
      </c>
      <c r="L23" s="2364"/>
      <c r="M23" s="2364">
        <f t="shared" si="55"/>
        <v>36493</v>
      </c>
      <c r="N23" s="2364">
        <f>K23</f>
        <v>36493</v>
      </c>
      <c r="O23" s="2364"/>
      <c r="P23" s="4812">
        <f>+'Phụ lục số 8.2-CCTL'!E6</f>
        <v>45493</v>
      </c>
      <c r="Q23" s="2365">
        <f>N23-K23</f>
        <v>0</v>
      </c>
      <c r="R23" s="2366"/>
      <c r="S23" s="2368"/>
      <c r="T23" s="2364"/>
      <c r="U23" s="2364">
        <f t="shared" si="45"/>
        <v>0</v>
      </c>
      <c r="V23" s="2364">
        <f>'[31]Phụ lục 7.2-CCTL'!F6</f>
        <v>0</v>
      </c>
      <c r="W23" s="2364"/>
      <c r="X23" s="4812">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13">
        <f>+'Phụ lục số 8.2-CCTL'!I6</f>
        <v>17902</v>
      </c>
      <c r="AW23" s="2350">
        <f>AT23-AQ23</f>
        <v>0</v>
      </c>
      <c r="AX23" s="2366"/>
      <c r="AY23" s="2367">
        <v>395603</v>
      </c>
      <c r="AZ23" s="2364"/>
      <c r="BA23" s="2364">
        <f t="shared" si="49"/>
        <v>395603</v>
      </c>
      <c r="BB23" s="2364">
        <f>AY23</f>
        <v>395603</v>
      </c>
      <c r="BC23" s="2364"/>
      <c r="BD23" s="4813">
        <f>+'Phụ lục số 8.2-CCTL'!J6</f>
        <v>517247</v>
      </c>
      <c r="BE23" s="2365">
        <f>BB23-AY23</f>
        <v>0</v>
      </c>
      <c r="BF23" s="2366"/>
      <c r="BG23" s="2367">
        <v>59176</v>
      </c>
      <c r="BH23" s="2364"/>
      <c r="BI23" s="2364">
        <f t="shared" si="50"/>
        <v>59176</v>
      </c>
      <c r="BJ23" s="2364">
        <f>+BG23</f>
        <v>59176</v>
      </c>
      <c r="BK23" s="2364"/>
      <c r="BL23" s="4813">
        <f>+'Phụ lục số 8.2-CCTL'!K6</f>
        <v>45892</v>
      </c>
      <c r="BM23" s="2365">
        <f>BJ23-BG23</f>
        <v>0</v>
      </c>
      <c r="BN23" s="2366"/>
      <c r="BO23" s="2367">
        <v>26700</v>
      </c>
      <c r="BP23" s="2364"/>
      <c r="BQ23" s="2364">
        <f t="shared" si="51"/>
        <v>26700</v>
      </c>
      <c r="BR23" s="2364">
        <f>'[31]Phụ lục 7.2-CCTL'!L6</f>
        <v>26700</v>
      </c>
      <c r="BS23" s="2364"/>
      <c r="BT23" s="4812">
        <f>+'Phụ lục số 8.2-CCTL'!L6</f>
        <v>20039</v>
      </c>
      <c r="BU23" s="2365">
        <f>BR23-BO23</f>
        <v>0</v>
      </c>
      <c r="BV23" s="2366"/>
      <c r="BW23" s="2367">
        <v>39278</v>
      </c>
      <c r="BX23" s="2364"/>
      <c r="BY23" s="2364">
        <f t="shared" si="52"/>
        <v>39278</v>
      </c>
      <c r="BZ23" s="2364">
        <f>BW23</f>
        <v>39278</v>
      </c>
      <c r="CA23" s="2364"/>
      <c r="CB23" s="4813">
        <f>+'Phụ lục số 8.2-CCTL'!M6</f>
        <v>0</v>
      </c>
      <c r="CC23" s="2365">
        <f>BZ23-BW23</f>
        <v>0</v>
      </c>
      <c r="CD23" s="2366"/>
      <c r="CE23" s="2367">
        <v>22770</v>
      </c>
      <c r="CF23" s="2364"/>
      <c r="CG23" s="2364">
        <f t="shared" si="53"/>
        <v>22770</v>
      </c>
      <c r="CH23" s="2364">
        <f>'[31]Phụ lục 7.2-CCTL'!N6</f>
        <v>22770</v>
      </c>
      <c r="CI23" s="2364"/>
      <c r="CJ23" s="4812">
        <f>+'Phụ lục số 8.2-CCTL'!N6</f>
        <v>16209</v>
      </c>
      <c r="CK23" s="2365">
        <f>CH23-CE23</f>
        <v>0</v>
      </c>
      <c r="CL23" s="2366"/>
      <c r="CM23" s="2367">
        <v>174966</v>
      </c>
      <c r="CN23" s="2364"/>
      <c r="CO23" s="2364">
        <f t="shared" si="54"/>
        <v>174966</v>
      </c>
      <c r="CP23" s="2364">
        <v>174966</v>
      </c>
      <c r="CQ23" s="2364"/>
      <c r="CR23" s="4813">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36">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41">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36">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36">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36">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1776</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1779</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49">
        <f>F42+F43+F47</f>
        <v>71379.600000000006</v>
      </c>
      <c r="H41" s="2868"/>
      <c r="L41" s="2868"/>
      <c r="M41" s="2868"/>
      <c r="N41" s="4849">
        <f>N42+N43+N47</f>
        <v>6400</v>
      </c>
      <c r="O41" s="2868"/>
      <c r="U41" s="2870"/>
      <c r="V41" s="4849">
        <f>V42+V43+V47</f>
        <v>3200</v>
      </c>
      <c r="W41" s="2868"/>
      <c r="AD41" s="4849">
        <f>AD42+AD43+AD47</f>
        <v>1305</v>
      </c>
      <c r="AF41" s="2868"/>
      <c r="AG41" s="2868"/>
      <c r="AL41" s="4849">
        <f>AL42+AL43+AL47</f>
        <v>2400</v>
      </c>
      <c r="AS41" s="2870">
        <f>AQ30+AT50</f>
        <v>645402.35199999996</v>
      </c>
      <c r="AT41" s="4849">
        <f>AT42+AT43+AT47</f>
        <v>2500</v>
      </c>
      <c r="BB41" s="4849">
        <f>BB42+BB43+BB47</f>
        <v>27075</v>
      </c>
      <c r="BJ41" s="4849">
        <f>BJ42+BJ43+BJ47</f>
        <v>3200</v>
      </c>
      <c r="BR41" s="2587"/>
      <c r="BY41" s="2870"/>
      <c r="BZ41" s="4849">
        <f>BZ42+BZ43+BZ47</f>
        <v>2500</v>
      </c>
      <c r="CB41" s="2868"/>
      <c r="CF41" s="4792"/>
      <c r="CG41" s="2870"/>
      <c r="CH41" s="4849">
        <f>CH42+CH43+CH47</f>
        <v>15825</v>
      </c>
      <c r="CP41" s="4849">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1852</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1778</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1853</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16">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36">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14">
        <v>2500</v>
      </c>
      <c r="CY47" s="2997">
        <f t="shared" si="106"/>
        <v>-0.111358574610245</v>
      </c>
      <c r="CZ47" s="2998"/>
      <c r="DA47" s="2998"/>
      <c r="DB47" s="3019">
        <f>CX47/CX40%</f>
        <v>-11.135857461024498</v>
      </c>
    </row>
    <row r="48" spans="1:112" s="2865" customFormat="1">
      <c r="A48" s="3028"/>
      <c r="B48" s="2865" t="s">
        <v>1854</v>
      </c>
      <c r="C48" s="3017" t="s">
        <v>1855</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13"/>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40"/>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645" t="s">
        <v>1524</v>
      </c>
      <c r="G53" s="6645"/>
      <c r="H53" s="6645"/>
      <c r="I53" s="6645"/>
      <c r="J53" s="6645"/>
      <c r="N53" s="6645" t="s">
        <v>1524</v>
      </c>
      <c r="O53" s="6645"/>
      <c r="P53" s="6645"/>
      <c r="Q53" s="6645"/>
      <c r="R53" s="6645"/>
      <c r="V53" s="6645" t="s">
        <v>1524</v>
      </c>
      <c r="W53" s="6645"/>
      <c r="X53" s="6645"/>
      <c r="Y53" s="6645"/>
      <c r="Z53" s="6645"/>
      <c r="AD53" s="6645" t="s">
        <v>1524</v>
      </c>
      <c r="AE53" s="6645"/>
      <c r="AF53" s="6645"/>
      <c r="AG53" s="6645"/>
      <c r="AH53" s="6645"/>
      <c r="AL53" s="6645" t="s">
        <v>1524</v>
      </c>
      <c r="AM53" s="6645"/>
      <c r="AN53" s="6645"/>
      <c r="AO53" s="6645"/>
      <c r="AP53" s="6645"/>
      <c r="AT53" s="6645" t="s">
        <v>1524</v>
      </c>
      <c r="AU53" s="6645"/>
      <c r="AV53" s="6645"/>
      <c r="AW53" s="6645"/>
      <c r="AX53" s="6645"/>
      <c r="BB53" s="6645" t="s">
        <v>1524</v>
      </c>
      <c r="BC53" s="6645"/>
      <c r="BD53" s="6645"/>
      <c r="BE53" s="6645"/>
      <c r="BF53" s="6645"/>
      <c r="BJ53" s="6645" t="s">
        <v>1524</v>
      </c>
      <c r="BK53" s="6645"/>
      <c r="BL53" s="6645"/>
      <c r="BM53" s="6645"/>
      <c r="BN53" s="6645"/>
      <c r="BR53" s="6645" t="s">
        <v>1524</v>
      </c>
      <c r="BS53" s="6645"/>
      <c r="BT53" s="6645"/>
      <c r="BU53" s="6645"/>
      <c r="BV53" s="6645"/>
      <c r="BZ53" s="6654" t="s">
        <v>1524</v>
      </c>
      <c r="CA53" s="6654"/>
      <c r="CB53" s="6654"/>
      <c r="CC53" s="6654"/>
      <c r="CD53" s="6654"/>
      <c r="CH53" s="6645" t="s">
        <v>1524</v>
      </c>
      <c r="CI53" s="6645"/>
      <c r="CJ53" s="6645"/>
      <c r="CK53" s="6645"/>
      <c r="CL53" s="6645"/>
      <c r="CP53" s="6645" t="s">
        <v>1524</v>
      </c>
      <c r="CQ53" s="6645"/>
      <c r="CR53" s="6645"/>
      <c r="CS53" s="6645"/>
      <c r="CT53" s="6645"/>
      <c r="CX53" s="6645" t="s">
        <v>1524</v>
      </c>
      <c r="CY53" s="6645"/>
      <c r="CZ53" s="6645"/>
      <c r="DA53" s="6645"/>
      <c r="DB53" s="6645"/>
    </row>
    <row r="54" spans="1:106" s="2865" customFormat="1" hidden="1">
      <c r="A54" s="3028"/>
      <c r="B54" s="2332" t="s">
        <v>1525</v>
      </c>
      <c r="C54" s="2867"/>
      <c r="F54" s="6644" t="s">
        <v>659</v>
      </c>
      <c r="G54" s="6644"/>
      <c r="H54" s="6644"/>
      <c r="I54" s="6644"/>
      <c r="J54" s="6644"/>
      <c r="N54" s="6644" t="s">
        <v>659</v>
      </c>
      <c r="O54" s="6644"/>
      <c r="P54" s="6644"/>
      <c r="Q54" s="6644"/>
      <c r="R54" s="6644"/>
      <c r="V54" s="6644" t="s">
        <v>659</v>
      </c>
      <c r="W54" s="6644"/>
      <c r="X54" s="6644"/>
      <c r="Y54" s="6644"/>
      <c r="Z54" s="6644"/>
      <c r="AD54" s="6644" t="s">
        <v>659</v>
      </c>
      <c r="AE54" s="6644"/>
      <c r="AF54" s="6644"/>
      <c r="AG54" s="6644"/>
      <c r="AH54" s="6644"/>
      <c r="AL54" s="6644" t="s">
        <v>659</v>
      </c>
      <c r="AM54" s="6644"/>
      <c r="AN54" s="6644"/>
      <c r="AO54" s="6644"/>
      <c r="AP54" s="6644"/>
      <c r="AT54" s="6644" t="s">
        <v>659</v>
      </c>
      <c r="AU54" s="6644"/>
      <c r="AV54" s="6644"/>
      <c r="AW54" s="6644"/>
      <c r="AX54" s="6644"/>
      <c r="BA54" s="2867"/>
      <c r="BB54" s="6644" t="s">
        <v>659</v>
      </c>
      <c r="BC54" s="6644"/>
      <c r="BD54" s="6644"/>
      <c r="BE54" s="6644"/>
      <c r="BF54" s="6644"/>
      <c r="BJ54" s="6644" t="s">
        <v>659</v>
      </c>
      <c r="BK54" s="6644"/>
      <c r="BL54" s="6644"/>
      <c r="BM54" s="6644"/>
      <c r="BN54" s="6644"/>
      <c r="BR54" s="6644" t="s">
        <v>659</v>
      </c>
      <c r="BS54" s="6644"/>
      <c r="BT54" s="6644"/>
      <c r="BU54" s="6644"/>
      <c r="BV54" s="6644"/>
      <c r="BZ54" s="6644" t="s">
        <v>659</v>
      </c>
      <c r="CA54" s="6644"/>
      <c r="CB54" s="6644"/>
      <c r="CC54" s="6644"/>
      <c r="CD54" s="6644"/>
      <c r="CH54" s="6644" t="s">
        <v>659</v>
      </c>
      <c r="CI54" s="6644"/>
      <c r="CJ54" s="6644"/>
      <c r="CK54" s="6644"/>
      <c r="CL54" s="6644"/>
      <c r="CP54" s="6644" t="s">
        <v>659</v>
      </c>
      <c r="CQ54" s="6644"/>
      <c r="CR54" s="6644"/>
      <c r="CS54" s="6644"/>
      <c r="CT54" s="6644"/>
      <c r="CX54" s="6644" t="s">
        <v>659</v>
      </c>
      <c r="CY54" s="6644"/>
      <c r="CZ54" s="6644"/>
      <c r="DA54" s="6644"/>
      <c r="DB54" s="6644"/>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14"/>
      <c r="F58" s="2375">
        <f>+F33-E33</f>
        <v>36836.999999999971</v>
      </c>
      <c r="G58" s="4793"/>
      <c r="H58" s="4793"/>
      <c r="N58" s="4815"/>
      <c r="V58" s="2411"/>
      <c r="AD58" s="2411"/>
      <c r="AL58" s="2411"/>
      <c r="AT58" s="2411"/>
      <c r="AU58" s="2411"/>
      <c r="BB58" s="4815"/>
      <c r="BJ58" s="2411"/>
      <c r="BR58" s="2411"/>
      <c r="BZ58" s="2411"/>
      <c r="CH58" s="4815"/>
      <c r="CP58" s="2411"/>
      <c r="CW58" s="2411"/>
      <c r="CX58" s="2411"/>
    </row>
    <row r="59" spans="1:106" hidden="1">
      <c r="F59" s="2411"/>
      <c r="G59" s="4816"/>
      <c r="H59" s="4793"/>
    </row>
    <row r="60" spans="1:106" hidden="1">
      <c r="H60" s="2413"/>
    </row>
    <row r="61" spans="1:106" hidden="1">
      <c r="F61" s="4817"/>
      <c r="H61" s="2411"/>
    </row>
    <row r="62" spans="1:106" hidden="1">
      <c r="F62" s="4817"/>
      <c r="H62" s="2413"/>
    </row>
    <row r="63" spans="1:106" hidden="1">
      <c r="E63" s="4818"/>
      <c r="F63" s="4814"/>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79">
        <f>+H14-F14</f>
        <v>62511.59</v>
      </c>
      <c r="P70" s="5079">
        <f>+P14-N14</f>
        <v>5593.3600000000006</v>
      </c>
      <c r="Q70" s="2411"/>
      <c r="X70" s="5079">
        <f>+X14-V14</f>
        <v>1294.8500000000004</v>
      </c>
      <c r="Y70" s="2411"/>
      <c r="AF70" s="5079">
        <f>+AF14-AD14</f>
        <v>5120.1699999999983</v>
      </c>
      <c r="AG70" s="2411"/>
      <c r="AN70" s="5079">
        <f>+AN14-AL14</f>
        <v>6374.369999999999</v>
      </c>
      <c r="AO70" s="2411"/>
      <c r="AV70" s="5079">
        <f>+AV14-AT14</f>
        <v>5781.66</v>
      </c>
      <c r="AW70" s="2411"/>
      <c r="BD70" s="5079">
        <f>+BD14-BB14</f>
        <v>15149.2</v>
      </c>
      <c r="BE70" s="2413"/>
      <c r="BF70" s="2413"/>
      <c r="BL70" s="5079">
        <f>+BL14-BJ14</f>
        <v>9986.989999999998</v>
      </c>
      <c r="BM70" s="2411"/>
      <c r="BT70" s="5079">
        <f>+BT14-BR14</f>
        <v>9641.7200000000012</v>
      </c>
      <c r="BU70" s="2411"/>
      <c r="CB70" s="5079">
        <f>+CB14-BZ14</f>
        <v>1664.4099999999999</v>
      </c>
      <c r="CC70" s="2411"/>
      <c r="CJ70" s="5079">
        <f>+CJ14-CH14</f>
        <v>-2071.91</v>
      </c>
      <c r="CK70" s="2411"/>
      <c r="CR70" s="5079">
        <f>+CR14-CP14</f>
        <v>-1551.45</v>
      </c>
      <c r="CS70" s="2413"/>
      <c r="CT70" s="2413"/>
      <c r="CZ70" s="5079">
        <f>+CZ14-CX14</f>
        <v>5528.2200000000012</v>
      </c>
      <c r="DA70" s="2413"/>
      <c r="DB70" s="2413"/>
    </row>
    <row r="71" spans="3:107" hidden="1">
      <c r="C71" s="2245"/>
      <c r="H71" s="4813">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13">
        <f>SUM(P72,X72,AF72,AN72,AV72,BD72,BL72,BT72,CB72,CJ72,CR72,CZ72)</f>
        <v>-3623.3599999999997</v>
      </c>
      <c r="BD72" s="2413"/>
      <c r="CJ72" s="2411">
        <f>+CJ70</f>
        <v>-2071.91</v>
      </c>
      <c r="CR72" s="2312">
        <f>+CR70</f>
        <v>-1551.45</v>
      </c>
      <c r="CZ72" s="2312"/>
      <c r="DA72" s="2413"/>
    </row>
    <row r="73" spans="3:107" hidden="1">
      <c r="C73" s="2245"/>
      <c r="H73" s="5200">
        <f>+H72*1000000</f>
        <v>-3623359999.9999995</v>
      </c>
      <c r="BD73" s="2413"/>
      <c r="CR73" s="2312"/>
      <c r="CZ73" s="2312"/>
      <c r="DA73" s="2413"/>
    </row>
    <row r="74" spans="3:107" hidden="1">
      <c r="C74" s="2245"/>
      <c r="H74" s="5200">
        <f>+H71*1000000</f>
        <v>66134950000</v>
      </c>
      <c r="BD74" s="2413"/>
      <c r="CR74" s="2312"/>
      <c r="CZ74" s="2312"/>
    </row>
    <row r="75" spans="3:107" hidden="1">
      <c r="C75" s="2245"/>
      <c r="H75" s="5200">
        <f>+H70*1000000</f>
        <v>62511590000</v>
      </c>
    </row>
    <row r="76" spans="3:107" hidden="1">
      <c r="H76" s="4813">
        <f>SUM(P76,X76,AF76,AN76,AV76,BD76,BL76,BT76,CB76,CJ76,CR76,CZ76)</f>
        <v>12000</v>
      </c>
      <c r="P76" s="2324">
        <v>1000</v>
      </c>
      <c r="X76" s="2324">
        <v>1000</v>
      </c>
      <c r="AF76" s="2324">
        <v>1000</v>
      </c>
      <c r="AN76" s="2324">
        <v>1000</v>
      </c>
      <c r="AV76" s="2324">
        <v>1000</v>
      </c>
      <c r="BD76" s="2324">
        <v>1000</v>
      </c>
      <c r="BL76" s="2324">
        <v>1000</v>
      </c>
      <c r="BT76" s="5306">
        <v>1000</v>
      </c>
      <c r="CB76" s="2324">
        <v>1000</v>
      </c>
      <c r="CJ76" s="2324">
        <v>1000</v>
      </c>
      <c r="CR76" s="2324">
        <v>1000</v>
      </c>
      <c r="CZ76" s="5112">
        <v>1000</v>
      </c>
    </row>
    <row r="77" spans="3:107" hidden="1">
      <c r="G77" s="2324">
        <f>+H77/1000000</f>
        <v>8.4548999999999999E-2</v>
      </c>
      <c r="H77" s="4813">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01">
        <f>+H16*1000000</f>
        <v>42185549000.000008</v>
      </c>
    </row>
    <row r="79" spans="3:107" hidden="1">
      <c r="H79" s="5201">
        <f>+H20*1000000</f>
        <v>11295000000</v>
      </c>
    </row>
    <row r="80" spans="3:107" hidden="1">
      <c r="H80" s="5201">
        <f>+H21*1000000</f>
        <v>852000000</v>
      </c>
    </row>
    <row r="81" spans="8:8" hidden="1">
      <c r="H81" s="5201">
        <f>+H22*1000000</f>
        <v>129670000000</v>
      </c>
    </row>
    <row r="82" spans="8:8" hidden="1">
      <c r="H82" s="5201">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673" t="s">
        <v>1846</v>
      </c>
      <c r="B1" s="6673"/>
      <c r="C1" s="6674"/>
      <c r="D1" s="6674"/>
      <c r="E1" s="6674"/>
      <c r="F1" s="6674"/>
      <c r="G1" s="6674"/>
      <c r="H1" s="6674"/>
      <c r="I1" s="6674"/>
      <c r="J1" s="6674"/>
      <c r="K1" s="6674"/>
      <c r="L1" s="6674"/>
      <c r="M1" s="6674"/>
      <c r="N1" s="6674"/>
      <c r="O1" s="6674"/>
      <c r="P1" s="6674"/>
    </row>
    <row r="2" spans="1:19" ht="18" customHeight="1">
      <c r="D2" s="2433"/>
      <c r="E2" s="2433"/>
      <c r="F2" s="2434"/>
      <c r="G2" s="2433"/>
      <c r="H2" s="2433"/>
      <c r="I2" s="2433"/>
      <c r="J2" s="2433"/>
      <c r="K2" s="2433"/>
      <c r="L2" s="2434"/>
      <c r="M2" s="2433"/>
      <c r="N2" s="2433"/>
      <c r="P2" s="2989"/>
    </row>
    <row r="3" spans="1:19" s="2435" customFormat="1" ht="15.9" customHeight="1">
      <c r="A3" s="6672" t="s">
        <v>136</v>
      </c>
      <c r="B3" s="6675" t="s">
        <v>136</v>
      </c>
      <c r="C3" s="6672" t="s">
        <v>137</v>
      </c>
      <c r="D3" s="6672" t="s">
        <v>54</v>
      </c>
      <c r="E3" s="6677" t="s">
        <v>251</v>
      </c>
      <c r="F3" s="6672" t="s">
        <v>252</v>
      </c>
      <c r="G3" s="6678" t="s">
        <v>253</v>
      </c>
      <c r="H3" s="6672" t="s">
        <v>254</v>
      </c>
      <c r="I3" s="6672" t="s">
        <v>255</v>
      </c>
      <c r="J3" s="6672" t="s">
        <v>256</v>
      </c>
      <c r="K3" s="6672" t="s">
        <v>257</v>
      </c>
      <c r="L3" s="6672" t="s">
        <v>258</v>
      </c>
      <c r="M3" s="6672" t="s">
        <v>259</v>
      </c>
      <c r="N3" s="6672" t="s">
        <v>260</v>
      </c>
      <c r="O3" s="6672" t="s">
        <v>261</v>
      </c>
      <c r="P3" s="6672" t="s">
        <v>262</v>
      </c>
      <c r="Q3" s="6669"/>
      <c r="R3" s="6670"/>
      <c r="S3" s="6671"/>
    </row>
    <row r="4" spans="1:19" s="2435" customFormat="1" ht="38.25" customHeight="1">
      <c r="A4" s="6672"/>
      <c r="B4" s="6676"/>
      <c r="C4" s="6672"/>
      <c r="D4" s="6672"/>
      <c r="E4" s="6677"/>
      <c r="F4" s="6672"/>
      <c r="G4" s="6678"/>
      <c r="H4" s="6672"/>
      <c r="I4" s="6672"/>
      <c r="J4" s="6672"/>
      <c r="K4" s="6672"/>
      <c r="L4" s="6672"/>
      <c r="M4" s="6672"/>
      <c r="N4" s="6672"/>
      <c r="O4" s="6672"/>
      <c r="P4" s="6672"/>
      <c r="Q4" s="6669"/>
      <c r="R4" s="6670"/>
      <c r="S4" s="6671"/>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1849</v>
      </c>
      <c r="D18" s="2463">
        <f>SUM(E18:P18)</f>
        <v>-78640</v>
      </c>
      <c r="E18" s="4795">
        <f>+'Phụ lục số 7.1'!V45</f>
        <v>6450</v>
      </c>
      <c r="F18" s="2451">
        <f>+'Phụ lục số 7.1'!AH45</f>
        <v>-10860</v>
      </c>
      <c r="G18" s="2451">
        <f>+'Phụ lục số 7.1'!AT45</f>
        <v>1305</v>
      </c>
      <c r="H18" s="2451">
        <f>+'Phụ lục số 7.1'!BF45</f>
        <v>-1820</v>
      </c>
      <c r="I18" s="2451">
        <f>+'Phụ lục số 7.1'!BR45</f>
        <v>-21475</v>
      </c>
      <c r="J18" s="4795">
        <f>+'Phụ lục số 7.1'!CD45</f>
        <v>26975</v>
      </c>
      <c r="K18" s="2451">
        <f>+'Phụ lục số 7.1'!CP45</f>
        <v>-14395</v>
      </c>
      <c r="L18" s="4795">
        <f>+'Phụ lục số 7.1'!DB45</f>
        <v>475</v>
      </c>
      <c r="M18" s="2451">
        <f>+'Phụ lục số 7.1'!DN45</f>
        <v>-6150</v>
      </c>
      <c r="N18" s="4795">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1847</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1848</v>
      </c>
      <c r="D26" s="2477">
        <f>SUM(E26:P26)</f>
        <v>1543255</v>
      </c>
      <c r="E26" s="5212">
        <f>116595+(13244)-1229</f>
        <v>128610</v>
      </c>
      <c r="F26" s="2477">
        <f>76485+(8761)-722</f>
        <v>84524</v>
      </c>
      <c r="G26" s="2477">
        <f>95886+(11801)-964</f>
        <v>106723</v>
      </c>
      <c r="H26" s="2477">
        <f>102576+(12719)-964</f>
        <v>114331</v>
      </c>
      <c r="I26" s="2477">
        <f>146100+(17063)-1227</f>
        <v>161936</v>
      </c>
      <c r="J26" s="5447">
        <f>119500+(16147)-1094+285</f>
        <v>134838</v>
      </c>
      <c r="K26" s="2477">
        <f>143311+(18877)-1123</f>
        <v>161065</v>
      </c>
      <c r="L26" s="2477">
        <f>123182+(16704)-1123</f>
        <v>138763</v>
      </c>
      <c r="M26" s="2477">
        <f>130391+(17274)-859</f>
        <v>146806</v>
      </c>
      <c r="N26" s="2477">
        <f>119171+(15372)-857</f>
        <v>133686</v>
      </c>
      <c r="O26" s="5447">
        <f>97324+(10847)-605+200</f>
        <v>107766</v>
      </c>
      <c r="P26" s="2477">
        <f>110875+(14191)-859</f>
        <v>124207</v>
      </c>
    </row>
    <row r="27" spans="1:19">
      <c r="B27" s="2481">
        <v>3</v>
      </c>
      <c r="C27" s="2478" t="s">
        <v>1850</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3147</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3148</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32">
        <v>1691396</v>
      </c>
      <c r="E86" s="2506"/>
    </row>
    <row r="87" spans="3:16">
      <c r="D87" s="5432">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33"/>
      <c r="J88" s="2506">
        <f>+'[36]Phụ lục số 8.2-CCTL'!$J$33</f>
        <v>478266</v>
      </c>
      <c r="O88" s="2506">
        <f>+'[36]Phụ lục số 8.2-CCTL'!$O$33</f>
        <v>40420</v>
      </c>
    </row>
    <row r="89" spans="3:16">
      <c r="D89" s="5432">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32">
        <f>SUM(E90:P90)</f>
        <v>1214</v>
      </c>
      <c r="J90" s="2506">
        <f>+J33-J88</f>
        <v>809</v>
      </c>
      <c r="O90" s="2506">
        <f>+O33-O88</f>
        <v>405</v>
      </c>
    </row>
    <row r="91" spans="3:16">
      <c r="D91" s="5432">
        <f>-D89+D90</f>
        <v>11141</v>
      </c>
    </row>
    <row r="92" spans="3:16">
      <c r="D92" s="5432"/>
    </row>
    <row r="93" spans="3:16">
      <c r="D93" s="5432"/>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694"/>
      <c r="J1" s="6694"/>
      <c r="K1" s="6694"/>
      <c r="L1" s="6694"/>
      <c r="M1" s="6694"/>
      <c r="N1" s="6694"/>
      <c r="O1" s="6694"/>
      <c r="P1" s="6694"/>
    </row>
    <row r="2" spans="1:184">
      <c r="B2" s="380"/>
      <c r="C2" s="6047" t="s">
        <v>1832</v>
      </c>
      <c r="D2" s="6047"/>
      <c r="E2" s="6047"/>
      <c r="F2" s="6047"/>
      <c r="G2" s="6047"/>
      <c r="H2" s="6047"/>
      <c r="I2" s="6047"/>
      <c r="J2" s="6047"/>
      <c r="K2" s="6047"/>
      <c r="L2" s="6047"/>
      <c r="M2" s="6047"/>
      <c r="N2" s="6047"/>
      <c r="O2" s="6047"/>
      <c r="P2" s="6047"/>
      <c r="Q2" s="6047" t="s">
        <v>1596</v>
      </c>
      <c r="R2" s="6047"/>
      <c r="S2" s="6047"/>
      <c r="T2" s="6047"/>
      <c r="U2" s="6047"/>
      <c r="V2" s="6047"/>
      <c r="W2" s="6047"/>
      <c r="X2" s="6047"/>
      <c r="Y2" s="6047"/>
      <c r="Z2" s="6047"/>
      <c r="AA2" s="6047"/>
      <c r="AB2" s="6047"/>
      <c r="AC2" s="6047"/>
      <c r="AD2" s="6047"/>
      <c r="AE2" s="6047" t="s">
        <v>1596</v>
      </c>
      <c r="AF2" s="6047"/>
      <c r="AG2" s="6047"/>
      <c r="AH2" s="6047"/>
      <c r="AI2" s="6047"/>
      <c r="AJ2" s="6047"/>
      <c r="AK2" s="6047"/>
      <c r="AL2" s="6047"/>
      <c r="AM2" s="6047"/>
      <c r="AN2" s="6047"/>
      <c r="AO2" s="6047"/>
      <c r="AP2" s="6047"/>
      <c r="AQ2" s="6047"/>
      <c r="AR2" s="6047"/>
      <c r="AS2" s="6047" t="s">
        <v>1596</v>
      </c>
      <c r="AT2" s="6047"/>
      <c r="AU2" s="6047"/>
      <c r="AV2" s="6047"/>
      <c r="AW2" s="6047"/>
      <c r="AX2" s="6047"/>
      <c r="AY2" s="6047"/>
      <c r="AZ2" s="6047"/>
      <c r="BA2" s="6047"/>
      <c r="BB2" s="6047"/>
      <c r="BC2" s="6047"/>
      <c r="BD2" s="6047"/>
      <c r="BE2" s="6047"/>
      <c r="BF2" s="6047"/>
      <c r="BG2" s="6047" t="s">
        <v>1596</v>
      </c>
      <c r="BH2" s="6047"/>
      <c r="BI2" s="6047"/>
      <c r="BJ2" s="6047"/>
      <c r="BK2" s="6047"/>
      <c r="BL2" s="6047"/>
      <c r="BM2" s="6047"/>
      <c r="BN2" s="6047"/>
      <c r="BO2" s="6047"/>
      <c r="BP2" s="6047"/>
      <c r="BQ2" s="6047"/>
      <c r="BR2" s="6047"/>
      <c r="BS2" s="6047"/>
      <c r="BT2" s="6047"/>
      <c r="BU2" s="6047" t="s">
        <v>1596</v>
      </c>
      <c r="BV2" s="6047"/>
      <c r="BW2" s="6047"/>
      <c r="BX2" s="6047"/>
      <c r="BY2" s="6047"/>
      <c r="BZ2" s="6047"/>
      <c r="CA2" s="6047"/>
      <c r="CB2" s="6047"/>
      <c r="CC2" s="6047"/>
      <c r="CD2" s="6047"/>
      <c r="CE2" s="6047"/>
      <c r="CF2" s="6047"/>
      <c r="CG2" s="6047"/>
      <c r="CH2" s="6047"/>
      <c r="CI2" s="6047" t="s">
        <v>1596</v>
      </c>
      <c r="CJ2" s="6047"/>
      <c r="CK2" s="6047"/>
      <c r="CL2" s="6047"/>
      <c r="CM2" s="6047"/>
      <c r="CN2" s="6047"/>
      <c r="CO2" s="6047"/>
      <c r="CP2" s="6047"/>
      <c r="CQ2" s="6047"/>
      <c r="CR2" s="6047"/>
      <c r="CS2" s="6047"/>
      <c r="CT2" s="6047"/>
      <c r="CU2" s="6047"/>
      <c r="CV2" s="6047"/>
      <c r="CW2" s="6047" t="s">
        <v>1596</v>
      </c>
      <c r="CX2" s="6047"/>
      <c r="CY2" s="6047"/>
      <c r="CZ2" s="6047"/>
      <c r="DA2" s="6047"/>
      <c r="DB2" s="6047"/>
      <c r="DC2" s="6047"/>
      <c r="DD2" s="6047"/>
      <c r="DE2" s="6047"/>
      <c r="DF2" s="6047"/>
      <c r="DG2" s="6047"/>
      <c r="DH2" s="6047"/>
      <c r="DI2" s="6047"/>
      <c r="DJ2" s="6047"/>
      <c r="DK2" s="6047" t="s">
        <v>1596</v>
      </c>
      <c r="DL2" s="6047"/>
      <c r="DM2" s="6047"/>
      <c r="DN2" s="6047"/>
      <c r="DO2" s="6047"/>
      <c r="DP2" s="6047"/>
      <c r="DQ2" s="6047"/>
      <c r="DR2" s="6047"/>
      <c r="DS2" s="6047"/>
      <c r="DT2" s="6047"/>
      <c r="DU2" s="6047"/>
      <c r="DV2" s="6047"/>
      <c r="DW2" s="6047"/>
      <c r="DX2" s="6047"/>
      <c r="DY2" s="6047" t="s">
        <v>1596</v>
      </c>
      <c r="DZ2" s="6047"/>
      <c r="EA2" s="6047"/>
      <c r="EB2" s="6047"/>
      <c r="EC2" s="6047"/>
      <c r="ED2" s="6047"/>
      <c r="EE2" s="6047"/>
      <c r="EF2" s="6047"/>
      <c r="EG2" s="6047"/>
      <c r="EH2" s="6047"/>
      <c r="EI2" s="6047"/>
      <c r="EJ2" s="6047"/>
      <c r="EK2" s="6047"/>
      <c r="EL2" s="6047"/>
      <c r="EM2" s="6047" t="s">
        <v>1596</v>
      </c>
      <c r="EN2" s="6047"/>
      <c r="EO2" s="6047"/>
      <c r="EP2" s="6047"/>
      <c r="EQ2" s="6047"/>
      <c r="ER2" s="6047"/>
      <c r="ES2" s="6047"/>
      <c r="ET2" s="6047"/>
      <c r="EU2" s="6047"/>
      <c r="EV2" s="6047"/>
      <c r="EW2" s="6047"/>
      <c r="EX2" s="6047"/>
      <c r="EY2" s="6047"/>
      <c r="EZ2" s="6047"/>
      <c r="FA2" s="6047" t="s">
        <v>1596</v>
      </c>
      <c r="FB2" s="6047"/>
      <c r="FC2" s="6047"/>
      <c r="FD2" s="6047"/>
      <c r="FE2" s="6047"/>
      <c r="FF2" s="6047"/>
      <c r="FG2" s="6047"/>
      <c r="FH2" s="6047"/>
      <c r="FI2" s="6047"/>
      <c r="FJ2" s="6047"/>
      <c r="FK2" s="6047"/>
      <c r="FL2" s="6047"/>
      <c r="FM2" s="6047"/>
      <c r="FN2" s="6047"/>
      <c r="FO2" s="6047" t="s">
        <v>1596</v>
      </c>
      <c r="FP2" s="6047"/>
      <c r="FQ2" s="6047"/>
      <c r="FR2" s="6047"/>
      <c r="FS2" s="6047"/>
      <c r="FT2" s="6047"/>
      <c r="FU2" s="6047"/>
      <c r="FV2" s="6047"/>
      <c r="FW2" s="6047"/>
      <c r="FX2" s="6047"/>
      <c r="FY2" s="6047"/>
      <c r="FZ2" s="6047"/>
      <c r="GA2" s="6047"/>
      <c r="GB2" s="6047"/>
    </row>
    <row r="3" spans="1:184">
      <c r="B3" s="617"/>
      <c r="C3" s="6692" t="s">
        <v>1836</v>
      </c>
      <c r="D3" s="6692"/>
      <c r="E3" s="6692"/>
      <c r="F3" s="6692"/>
      <c r="G3" s="6692"/>
      <c r="H3" s="6692"/>
      <c r="I3" s="6692"/>
      <c r="J3" s="6692"/>
      <c r="K3" s="6692"/>
      <c r="L3" s="6692"/>
      <c r="M3" s="6692"/>
      <c r="N3" s="6692"/>
      <c r="O3" s="6692"/>
      <c r="P3" s="6692"/>
      <c r="Q3" s="6692" t="str">
        <f>+C3</f>
        <v>(Kèm theo Công văn số        /STC-QLNS ngày        tháng 9 năm 2024 của Sở Tài chính)</v>
      </c>
      <c r="R3" s="6692"/>
      <c r="S3" s="6692"/>
      <c r="T3" s="6692"/>
      <c r="U3" s="6692"/>
      <c r="V3" s="6692"/>
      <c r="W3" s="6692"/>
      <c r="X3" s="6692"/>
      <c r="Y3" s="6692"/>
      <c r="Z3" s="6692"/>
      <c r="AA3" s="6692"/>
      <c r="AB3" s="6692"/>
      <c r="AC3" s="6692"/>
      <c r="AD3" s="6692"/>
      <c r="AE3" s="6692" t="str">
        <f>+Q3</f>
        <v>(Kèm theo Công văn số        /STC-QLNS ngày        tháng 9 năm 2024 của Sở Tài chính)</v>
      </c>
      <c r="AF3" s="6692"/>
      <c r="AG3" s="6692"/>
      <c r="AH3" s="6692"/>
      <c r="AI3" s="6692"/>
      <c r="AJ3" s="6692"/>
      <c r="AK3" s="6692"/>
      <c r="AL3" s="6692"/>
      <c r="AM3" s="6692"/>
      <c r="AN3" s="6692"/>
      <c r="AO3" s="6692"/>
      <c r="AP3" s="6692"/>
      <c r="AQ3" s="6692"/>
      <c r="AR3" s="6692"/>
      <c r="AS3" s="6692" t="str">
        <f>+AE3</f>
        <v>(Kèm theo Công văn số        /STC-QLNS ngày        tháng 9 năm 2024 của Sở Tài chính)</v>
      </c>
      <c r="AT3" s="6692"/>
      <c r="AU3" s="6692"/>
      <c r="AV3" s="6692"/>
      <c r="AW3" s="6692"/>
      <c r="AX3" s="6692"/>
      <c r="AY3" s="6692"/>
      <c r="AZ3" s="6692"/>
      <c r="BA3" s="6692"/>
      <c r="BB3" s="6692"/>
      <c r="BC3" s="6692"/>
      <c r="BD3" s="6692"/>
      <c r="BE3" s="6692"/>
      <c r="BF3" s="6692"/>
      <c r="BG3" s="6692" t="str">
        <f>+AS3</f>
        <v>(Kèm theo Công văn số        /STC-QLNS ngày        tháng 9 năm 2024 của Sở Tài chính)</v>
      </c>
      <c r="BH3" s="6692"/>
      <c r="BI3" s="6692"/>
      <c r="BJ3" s="6692"/>
      <c r="BK3" s="6692"/>
      <c r="BL3" s="6692"/>
      <c r="BM3" s="6692"/>
      <c r="BN3" s="6692"/>
      <c r="BO3" s="6692"/>
      <c r="BP3" s="6692"/>
      <c r="BQ3" s="6692"/>
      <c r="BR3" s="6692"/>
      <c r="BS3" s="6692"/>
      <c r="BT3" s="6692"/>
      <c r="BU3" s="6693" t="str">
        <f>+BG3</f>
        <v>(Kèm theo Công văn số        /STC-QLNS ngày        tháng 9 năm 2024 của Sở Tài chính)</v>
      </c>
      <c r="BV3" s="6692"/>
      <c r="BW3" s="6692"/>
      <c r="BX3" s="6692"/>
      <c r="BY3" s="6692"/>
      <c r="BZ3" s="6692"/>
      <c r="CA3" s="6692"/>
      <c r="CB3" s="6692"/>
      <c r="CC3" s="6692"/>
      <c r="CD3" s="6692"/>
      <c r="CE3" s="6692"/>
      <c r="CF3" s="6692"/>
      <c r="CG3" s="6692"/>
      <c r="CH3" s="6692"/>
      <c r="CI3" s="6692" t="s">
        <v>1597</v>
      </c>
      <c r="CJ3" s="6692"/>
      <c r="CK3" s="6692"/>
      <c r="CL3" s="6692"/>
      <c r="CM3" s="6692"/>
      <c r="CN3" s="6692"/>
      <c r="CO3" s="6692"/>
      <c r="CP3" s="6692"/>
      <c r="CQ3" s="6692"/>
      <c r="CR3" s="6692"/>
      <c r="CS3" s="6692"/>
      <c r="CT3" s="6692"/>
      <c r="CU3" s="6692"/>
      <c r="CV3" s="6692"/>
      <c r="CW3" s="6692" t="s">
        <v>1597</v>
      </c>
      <c r="CX3" s="6692"/>
      <c r="CY3" s="6692"/>
      <c r="CZ3" s="6692"/>
      <c r="DA3" s="6692"/>
      <c r="DB3" s="6692"/>
      <c r="DC3" s="6692"/>
      <c r="DD3" s="6692"/>
      <c r="DE3" s="6692"/>
      <c r="DF3" s="6692"/>
      <c r="DG3" s="6692"/>
      <c r="DH3" s="6692"/>
      <c r="DI3" s="6692"/>
      <c r="DJ3" s="6692"/>
      <c r="DK3" s="6692" t="s">
        <v>1597</v>
      </c>
      <c r="DL3" s="6692"/>
      <c r="DM3" s="6692"/>
      <c r="DN3" s="6692"/>
      <c r="DO3" s="6692"/>
      <c r="DP3" s="6692"/>
      <c r="DQ3" s="6692"/>
      <c r="DR3" s="6692"/>
      <c r="DS3" s="6692"/>
      <c r="DT3" s="6692"/>
      <c r="DU3" s="6692"/>
      <c r="DV3" s="6692"/>
      <c r="DW3" s="6692"/>
      <c r="DX3" s="6692"/>
      <c r="DY3" s="6692" t="s">
        <v>1597</v>
      </c>
      <c r="DZ3" s="6692"/>
      <c r="EA3" s="6692"/>
      <c r="EB3" s="6692"/>
      <c r="EC3" s="6692"/>
      <c r="ED3" s="6692"/>
      <c r="EE3" s="6692"/>
      <c r="EF3" s="6692"/>
      <c r="EG3" s="6692"/>
      <c r="EH3" s="6692"/>
      <c r="EI3" s="6692"/>
      <c r="EJ3" s="6692"/>
      <c r="EK3" s="6692"/>
      <c r="EL3" s="6692"/>
      <c r="EM3" s="6692" t="s">
        <v>1597</v>
      </c>
      <c r="EN3" s="6692"/>
      <c r="EO3" s="6692"/>
      <c r="EP3" s="6692"/>
      <c r="EQ3" s="6692"/>
      <c r="ER3" s="6692"/>
      <c r="ES3" s="6692"/>
      <c r="ET3" s="6692"/>
      <c r="EU3" s="6692"/>
      <c r="EV3" s="6692"/>
      <c r="EW3" s="6692"/>
      <c r="EX3" s="6692"/>
      <c r="EY3" s="6692"/>
      <c r="EZ3" s="6692"/>
      <c r="FA3" s="6692" t="s">
        <v>1597</v>
      </c>
      <c r="FB3" s="6692"/>
      <c r="FC3" s="6692"/>
      <c r="FD3" s="6692"/>
      <c r="FE3" s="6692"/>
      <c r="FF3" s="6692"/>
      <c r="FG3" s="6692"/>
      <c r="FH3" s="6692"/>
      <c r="FI3" s="6692"/>
      <c r="FJ3" s="6692"/>
      <c r="FK3" s="6692"/>
      <c r="FL3" s="6692"/>
      <c r="FM3" s="6692"/>
      <c r="FN3" s="6692"/>
      <c r="FO3" s="6692" t="s">
        <v>1597</v>
      </c>
      <c r="FP3" s="6692"/>
      <c r="FQ3" s="6692"/>
      <c r="FR3" s="6692"/>
      <c r="FS3" s="6692"/>
      <c r="FT3" s="6692"/>
      <c r="FU3" s="6692"/>
      <c r="FV3" s="6692"/>
      <c r="FW3" s="6692"/>
      <c r="FX3" s="6692"/>
      <c r="FY3" s="6692"/>
      <c r="FZ3" s="6692"/>
      <c r="GA3" s="6692"/>
      <c r="GB3" s="6692"/>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691"/>
      <c r="J5" s="6691"/>
      <c r="K5" s="6691"/>
      <c r="L5" s="2510"/>
      <c r="M5" s="2510"/>
      <c r="N5" s="2511"/>
      <c r="O5" s="6690" t="s">
        <v>638</v>
      </c>
      <c r="P5" s="6690"/>
      <c r="Q5" s="381"/>
      <c r="R5" s="381"/>
      <c r="S5" s="381"/>
      <c r="T5" s="381"/>
      <c r="U5" s="381"/>
      <c r="V5" s="381"/>
      <c r="W5" s="6691"/>
      <c r="X5" s="6691"/>
      <c r="Y5" s="6691"/>
      <c r="Z5" s="2510"/>
      <c r="AA5" s="2510"/>
      <c r="AB5" s="2511"/>
      <c r="AC5" s="6690" t="s">
        <v>638</v>
      </c>
      <c r="AD5" s="6690"/>
      <c r="AE5" s="381"/>
      <c r="AF5" s="381"/>
      <c r="AG5" s="381"/>
      <c r="AH5" s="381"/>
      <c r="AI5" s="381"/>
      <c r="AJ5" s="381"/>
      <c r="AK5" s="6691"/>
      <c r="AL5" s="6691"/>
      <c r="AM5" s="6691"/>
      <c r="AN5" s="2510"/>
      <c r="AO5" s="2510"/>
      <c r="AP5" s="2511"/>
      <c r="AQ5" s="6690" t="s">
        <v>638</v>
      </c>
      <c r="AR5" s="6690"/>
      <c r="AS5" s="381"/>
      <c r="AT5" s="381"/>
      <c r="AU5" s="381"/>
      <c r="AV5" s="381"/>
      <c r="AW5" s="381"/>
      <c r="AX5" s="381"/>
      <c r="AY5" s="6691"/>
      <c r="AZ5" s="6691"/>
      <c r="BA5" s="6691"/>
      <c r="BB5" s="2510"/>
      <c r="BC5" s="2510"/>
      <c r="BD5" s="2511"/>
      <c r="BE5" s="6690" t="s">
        <v>638</v>
      </c>
      <c r="BF5" s="6690"/>
      <c r="BG5" s="381"/>
      <c r="BH5" s="381"/>
      <c r="BI5" s="381"/>
      <c r="BJ5" s="381"/>
      <c r="BK5" s="381"/>
      <c r="BL5" s="381"/>
      <c r="BM5" s="6691"/>
      <c r="BN5" s="6691"/>
      <c r="BO5" s="6691"/>
      <c r="BP5" s="2510"/>
      <c r="BQ5" s="2510"/>
      <c r="BR5" s="2511"/>
      <c r="BS5" s="6690" t="s">
        <v>638</v>
      </c>
      <c r="BT5" s="6690"/>
      <c r="BU5" s="381"/>
      <c r="BV5" s="381"/>
      <c r="BW5" s="381"/>
      <c r="BX5" s="381"/>
      <c r="BY5" s="381"/>
      <c r="BZ5" s="381"/>
      <c r="CA5" s="6691"/>
      <c r="CB5" s="6691"/>
      <c r="CC5" s="6691"/>
      <c r="CD5" s="2510"/>
      <c r="CE5" s="2510"/>
      <c r="CF5" s="2511"/>
      <c r="CG5" s="6690" t="s">
        <v>638</v>
      </c>
      <c r="CH5" s="6690"/>
      <c r="CI5" s="381"/>
      <c r="CJ5" s="381"/>
      <c r="CK5" s="381"/>
      <c r="CL5" s="381"/>
      <c r="CM5" s="381"/>
      <c r="CN5" s="381"/>
      <c r="CO5" s="6691"/>
      <c r="CP5" s="6691"/>
      <c r="CQ5" s="6691"/>
      <c r="CR5" s="2510"/>
      <c r="CS5" s="2510"/>
      <c r="CT5" s="2511"/>
      <c r="CU5" s="6690" t="s">
        <v>638</v>
      </c>
      <c r="CV5" s="6690"/>
      <c r="CW5" s="381"/>
      <c r="CX5" s="381"/>
      <c r="CY5" s="381"/>
      <c r="CZ5" s="381"/>
      <c r="DA5" s="381"/>
      <c r="DB5" s="381"/>
      <c r="DC5" s="6691"/>
      <c r="DD5" s="6691"/>
      <c r="DE5" s="6691"/>
      <c r="DF5" s="2510"/>
      <c r="DG5" s="2510"/>
      <c r="DH5" s="2511"/>
      <c r="DI5" s="6690" t="s">
        <v>638</v>
      </c>
      <c r="DJ5" s="6690"/>
      <c r="DK5" s="381"/>
      <c r="DL5" s="381"/>
      <c r="DM5" s="381"/>
      <c r="DN5" s="381"/>
      <c r="DO5" s="381"/>
      <c r="DP5" s="381"/>
      <c r="DQ5" s="6691"/>
      <c r="DR5" s="6691"/>
      <c r="DS5" s="6691"/>
      <c r="DT5" s="2510"/>
      <c r="DU5" s="2510"/>
      <c r="DV5" s="2511"/>
      <c r="DW5" s="6690" t="s">
        <v>638</v>
      </c>
      <c r="DX5" s="6690"/>
      <c r="DY5" s="381"/>
      <c r="DZ5" s="381"/>
      <c r="EA5" s="381"/>
      <c r="EB5" s="381"/>
      <c r="EC5" s="381"/>
      <c r="ED5" s="381"/>
      <c r="EE5" s="6691"/>
      <c r="EF5" s="6691"/>
      <c r="EG5" s="6691"/>
      <c r="EH5" s="2510"/>
      <c r="EI5" s="2510"/>
      <c r="EJ5" s="2511"/>
      <c r="EK5" s="6690" t="s">
        <v>638</v>
      </c>
      <c r="EL5" s="6690"/>
      <c r="EM5" s="381"/>
      <c r="EN5" s="381"/>
      <c r="EO5" s="381"/>
      <c r="EP5" s="381"/>
      <c r="EQ5" s="381"/>
      <c r="ER5" s="381"/>
      <c r="ES5" s="6691"/>
      <c r="ET5" s="6691"/>
      <c r="EU5" s="6691"/>
      <c r="EV5" s="2510"/>
      <c r="EW5" s="2510"/>
      <c r="EX5" s="2511"/>
      <c r="EY5" s="6690" t="s">
        <v>638</v>
      </c>
      <c r="EZ5" s="6690"/>
      <c r="FA5" s="381"/>
      <c r="FB5" s="381"/>
      <c r="FC5" s="381"/>
      <c r="FD5" s="381"/>
      <c r="FE5" s="381"/>
      <c r="FF5" s="381"/>
      <c r="FG5" s="6691"/>
      <c r="FH5" s="6691"/>
      <c r="FI5" s="6691"/>
      <c r="FJ5" s="2510"/>
      <c r="FK5" s="2510"/>
      <c r="FL5" s="2511"/>
      <c r="FM5" s="6690" t="s">
        <v>638</v>
      </c>
      <c r="FN5" s="6690"/>
      <c r="FO5" s="381"/>
      <c r="FP5" s="381"/>
      <c r="FQ5" s="381"/>
      <c r="FR5" s="381"/>
      <c r="FS5" s="381"/>
      <c r="FT5" s="381"/>
      <c r="FU5" s="6691"/>
      <c r="FV5" s="6691"/>
      <c r="FW5" s="6691"/>
      <c r="FX5" s="2510"/>
      <c r="FY5" s="2510"/>
      <c r="FZ5" s="2511"/>
      <c r="GA5" s="6690" t="s">
        <v>638</v>
      </c>
      <c r="GB5" s="6690"/>
    </row>
    <row r="6" spans="1:184" s="49" customFormat="1" ht="17.399999999999999">
      <c r="A6" s="6686" t="s">
        <v>247</v>
      </c>
      <c r="B6" s="6688" t="s">
        <v>983</v>
      </c>
      <c r="C6" s="6689" t="s">
        <v>1598</v>
      </c>
      <c r="D6" s="6684"/>
      <c r="E6" s="6684"/>
      <c r="F6" s="6684"/>
      <c r="G6" s="6684"/>
      <c r="H6" s="6684"/>
      <c r="I6" s="6684"/>
      <c r="J6" s="6684"/>
      <c r="K6" s="6684"/>
      <c r="L6" s="6684"/>
      <c r="M6" s="6684"/>
      <c r="N6" s="6684"/>
      <c r="O6" s="6684"/>
      <c r="P6" s="6685"/>
      <c r="Q6" s="6683" t="s">
        <v>1487</v>
      </c>
      <c r="R6" s="6684"/>
      <c r="S6" s="6684"/>
      <c r="T6" s="6684"/>
      <c r="U6" s="6684"/>
      <c r="V6" s="6684"/>
      <c r="W6" s="6684"/>
      <c r="X6" s="6684"/>
      <c r="Y6" s="6684"/>
      <c r="Z6" s="6684"/>
      <c r="AA6" s="6684"/>
      <c r="AB6" s="6684"/>
      <c r="AC6" s="6684"/>
      <c r="AD6" s="6685"/>
      <c r="AE6" s="6683" t="s">
        <v>1488</v>
      </c>
      <c r="AF6" s="6684"/>
      <c r="AG6" s="6684"/>
      <c r="AH6" s="6684"/>
      <c r="AI6" s="6684"/>
      <c r="AJ6" s="6684"/>
      <c r="AK6" s="6684"/>
      <c r="AL6" s="6684"/>
      <c r="AM6" s="6684"/>
      <c r="AN6" s="6684"/>
      <c r="AO6" s="6684"/>
      <c r="AP6" s="6684"/>
      <c r="AQ6" s="6684"/>
      <c r="AR6" s="6685"/>
      <c r="AS6" s="6683" t="s">
        <v>1489</v>
      </c>
      <c r="AT6" s="6684"/>
      <c r="AU6" s="6684"/>
      <c r="AV6" s="6684"/>
      <c r="AW6" s="6684"/>
      <c r="AX6" s="6684"/>
      <c r="AY6" s="6684"/>
      <c r="AZ6" s="6684"/>
      <c r="BA6" s="6684"/>
      <c r="BB6" s="6684"/>
      <c r="BC6" s="6684"/>
      <c r="BD6" s="6684"/>
      <c r="BE6" s="6684"/>
      <c r="BF6" s="6685"/>
      <c r="BG6" s="6683" t="s">
        <v>1490</v>
      </c>
      <c r="BH6" s="6684"/>
      <c r="BI6" s="6684"/>
      <c r="BJ6" s="6684"/>
      <c r="BK6" s="6684"/>
      <c r="BL6" s="6684"/>
      <c r="BM6" s="6684"/>
      <c r="BN6" s="6684"/>
      <c r="BO6" s="6684"/>
      <c r="BP6" s="6684"/>
      <c r="BQ6" s="6684"/>
      <c r="BR6" s="6684"/>
      <c r="BS6" s="6684"/>
      <c r="BT6" s="6685"/>
      <c r="BU6" s="6683" t="s">
        <v>1491</v>
      </c>
      <c r="BV6" s="6684"/>
      <c r="BW6" s="6684"/>
      <c r="BX6" s="6684"/>
      <c r="BY6" s="6684"/>
      <c r="BZ6" s="6684"/>
      <c r="CA6" s="6684"/>
      <c r="CB6" s="6684"/>
      <c r="CC6" s="6684"/>
      <c r="CD6" s="6684"/>
      <c r="CE6" s="6684"/>
      <c r="CF6" s="6684"/>
      <c r="CG6" s="6684"/>
      <c r="CH6" s="6685"/>
      <c r="CI6" s="6683" t="s">
        <v>1492</v>
      </c>
      <c r="CJ6" s="6684"/>
      <c r="CK6" s="6684"/>
      <c r="CL6" s="6684"/>
      <c r="CM6" s="6684"/>
      <c r="CN6" s="6684"/>
      <c r="CO6" s="6684"/>
      <c r="CP6" s="6684"/>
      <c r="CQ6" s="6684"/>
      <c r="CR6" s="6684"/>
      <c r="CS6" s="6684"/>
      <c r="CT6" s="6684"/>
      <c r="CU6" s="6684"/>
      <c r="CV6" s="6685"/>
      <c r="CW6" s="6683" t="s">
        <v>1493</v>
      </c>
      <c r="CX6" s="6684"/>
      <c r="CY6" s="6684"/>
      <c r="CZ6" s="6684"/>
      <c r="DA6" s="6684"/>
      <c r="DB6" s="6684"/>
      <c r="DC6" s="6684"/>
      <c r="DD6" s="6684"/>
      <c r="DE6" s="6684"/>
      <c r="DF6" s="6684"/>
      <c r="DG6" s="6684"/>
      <c r="DH6" s="6684"/>
      <c r="DI6" s="6684"/>
      <c r="DJ6" s="6685"/>
      <c r="DK6" s="6683" t="s">
        <v>1494</v>
      </c>
      <c r="DL6" s="6684"/>
      <c r="DM6" s="6684"/>
      <c r="DN6" s="6684"/>
      <c r="DO6" s="6684"/>
      <c r="DP6" s="6684"/>
      <c r="DQ6" s="6684"/>
      <c r="DR6" s="6684"/>
      <c r="DS6" s="6684"/>
      <c r="DT6" s="6684"/>
      <c r="DU6" s="6684"/>
      <c r="DV6" s="6684"/>
      <c r="DW6" s="6684"/>
      <c r="DX6" s="6685"/>
      <c r="DY6" s="6683" t="s">
        <v>1495</v>
      </c>
      <c r="DZ6" s="6684"/>
      <c r="EA6" s="6684"/>
      <c r="EB6" s="6684"/>
      <c r="EC6" s="6684"/>
      <c r="ED6" s="6684"/>
      <c r="EE6" s="6684"/>
      <c r="EF6" s="6684"/>
      <c r="EG6" s="6684"/>
      <c r="EH6" s="6684"/>
      <c r="EI6" s="6684"/>
      <c r="EJ6" s="6684"/>
      <c r="EK6" s="6684"/>
      <c r="EL6" s="6685"/>
      <c r="EM6" s="6683" t="s">
        <v>1496</v>
      </c>
      <c r="EN6" s="6684"/>
      <c r="EO6" s="6684"/>
      <c r="EP6" s="6684"/>
      <c r="EQ6" s="6684"/>
      <c r="ER6" s="6684"/>
      <c r="ES6" s="6684"/>
      <c r="ET6" s="6684"/>
      <c r="EU6" s="6684"/>
      <c r="EV6" s="6684"/>
      <c r="EW6" s="6684"/>
      <c r="EX6" s="6684"/>
      <c r="EY6" s="6684"/>
      <c r="EZ6" s="6685"/>
      <c r="FA6" s="6683" t="s">
        <v>1497</v>
      </c>
      <c r="FB6" s="6684"/>
      <c r="FC6" s="6684"/>
      <c r="FD6" s="6684"/>
      <c r="FE6" s="6684"/>
      <c r="FF6" s="6684"/>
      <c r="FG6" s="6684"/>
      <c r="FH6" s="6684"/>
      <c r="FI6" s="6684"/>
      <c r="FJ6" s="6684"/>
      <c r="FK6" s="6684"/>
      <c r="FL6" s="6684"/>
      <c r="FM6" s="6684"/>
      <c r="FN6" s="6685"/>
      <c r="FO6" s="6683" t="s">
        <v>1599</v>
      </c>
      <c r="FP6" s="6684"/>
      <c r="FQ6" s="6684"/>
      <c r="FR6" s="6684"/>
      <c r="FS6" s="6684"/>
      <c r="FT6" s="6684"/>
      <c r="FU6" s="6684"/>
      <c r="FV6" s="6684"/>
      <c r="FW6" s="6684"/>
      <c r="FX6" s="6684"/>
      <c r="FY6" s="6684"/>
      <c r="FZ6" s="6684"/>
      <c r="GA6" s="6684"/>
      <c r="GB6" s="6685"/>
    </row>
    <row r="7" spans="1:184">
      <c r="A7" s="6687"/>
      <c r="B7" s="6515"/>
      <c r="C7" s="6515" t="s">
        <v>1780</v>
      </c>
      <c r="D7" s="6515"/>
      <c r="E7" s="6515"/>
      <c r="F7" s="6515"/>
      <c r="G7" s="6515" t="s">
        <v>1784</v>
      </c>
      <c r="H7" s="6515"/>
      <c r="I7" s="6515"/>
      <c r="J7" s="6515"/>
      <c r="K7" s="6515"/>
      <c r="L7" s="6680" t="s">
        <v>1785</v>
      </c>
      <c r="M7" s="6681"/>
      <c r="N7" s="6681"/>
      <c r="O7" s="6681"/>
      <c r="P7" s="6682"/>
      <c r="Q7" s="6679" t="str">
        <f>+C7</f>
        <v>Thực hiện năm 2023
(xác định theo mức chuẩn nghèo mới)</v>
      </c>
      <c r="R7" s="6515"/>
      <c r="S7" s="6515"/>
      <c r="T7" s="6515"/>
      <c r="U7" s="6515" t="str">
        <f>+G7</f>
        <v>Dự kiến thực hiện năm 2024
(xác định theo mức chuẩn nghèo mới)</v>
      </c>
      <c r="V7" s="6515"/>
      <c r="W7" s="6515"/>
      <c r="X7" s="6515"/>
      <c r="Y7" s="6515"/>
      <c r="Z7" s="6680" t="str">
        <f>+L7</f>
        <v>Dự kiến năm 2025</v>
      </c>
      <c r="AA7" s="6681"/>
      <c r="AB7" s="6681"/>
      <c r="AC7" s="6681"/>
      <c r="AD7" s="6682"/>
      <c r="AE7" s="6679" t="str">
        <f>+Q7</f>
        <v>Thực hiện năm 2023
(xác định theo mức chuẩn nghèo mới)</v>
      </c>
      <c r="AF7" s="6515"/>
      <c r="AG7" s="6515"/>
      <c r="AH7" s="6515"/>
      <c r="AI7" s="6515" t="str">
        <f>+U7</f>
        <v>Dự kiến thực hiện năm 2024
(xác định theo mức chuẩn nghèo mới)</v>
      </c>
      <c r="AJ7" s="6515"/>
      <c r="AK7" s="6515"/>
      <c r="AL7" s="6515"/>
      <c r="AM7" s="6515"/>
      <c r="AN7" s="6680" t="str">
        <f>+Z7</f>
        <v>Dự kiến năm 2025</v>
      </c>
      <c r="AO7" s="6681"/>
      <c r="AP7" s="6681"/>
      <c r="AQ7" s="6681"/>
      <c r="AR7" s="6682"/>
      <c r="AS7" s="6679" t="str">
        <f>+AE7</f>
        <v>Thực hiện năm 2023
(xác định theo mức chuẩn nghèo mới)</v>
      </c>
      <c r="AT7" s="6515"/>
      <c r="AU7" s="6515"/>
      <c r="AV7" s="6515"/>
      <c r="AW7" s="6515" t="str">
        <f>+AI7</f>
        <v>Dự kiến thực hiện năm 2024
(xác định theo mức chuẩn nghèo mới)</v>
      </c>
      <c r="AX7" s="6515"/>
      <c r="AY7" s="6515"/>
      <c r="AZ7" s="6515"/>
      <c r="BA7" s="6515"/>
      <c r="BB7" s="6680" t="str">
        <f>+AN7</f>
        <v>Dự kiến năm 2025</v>
      </c>
      <c r="BC7" s="6681"/>
      <c r="BD7" s="6681"/>
      <c r="BE7" s="6681"/>
      <c r="BF7" s="6682"/>
      <c r="BG7" s="6679" t="str">
        <f>+AS7</f>
        <v>Thực hiện năm 2023
(xác định theo mức chuẩn nghèo mới)</v>
      </c>
      <c r="BH7" s="6515"/>
      <c r="BI7" s="6515"/>
      <c r="BJ7" s="6515"/>
      <c r="BK7" s="6515" t="str">
        <f>+AW7</f>
        <v>Dự kiến thực hiện năm 2024
(xác định theo mức chuẩn nghèo mới)</v>
      </c>
      <c r="BL7" s="6515"/>
      <c r="BM7" s="6515"/>
      <c r="BN7" s="6515"/>
      <c r="BO7" s="6515"/>
      <c r="BP7" s="6680" t="str">
        <f>+BB7</f>
        <v>Dự kiến năm 2025</v>
      </c>
      <c r="BQ7" s="6681"/>
      <c r="BR7" s="6681"/>
      <c r="BS7" s="6681"/>
      <c r="BT7" s="6682"/>
      <c r="BU7" s="6679" t="str">
        <f>+BG7</f>
        <v>Thực hiện năm 2023
(xác định theo mức chuẩn nghèo mới)</v>
      </c>
      <c r="BV7" s="6515"/>
      <c r="BW7" s="6515"/>
      <c r="BX7" s="6515"/>
      <c r="BY7" s="6515" t="str">
        <f>+BK7</f>
        <v>Dự kiến thực hiện năm 2024
(xác định theo mức chuẩn nghèo mới)</v>
      </c>
      <c r="BZ7" s="6515"/>
      <c r="CA7" s="6515"/>
      <c r="CB7" s="6515"/>
      <c r="CC7" s="6515"/>
      <c r="CD7" s="6680" t="str">
        <f>+BP7</f>
        <v>Dự kiến năm 2025</v>
      </c>
      <c r="CE7" s="6681"/>
      <c r="CF7" s="6681"/>
      <c r="CG7" s="6681"/>
      <c r="CH7" s="6682"/>
      <c r="CI7" s="6679" t="str">
        <f>+BU7</f>
        <v>Thực hiện năm 2023
(xác định theo mức chuẩn nghèo mới)</v>
      </c>
      <c r="CJ7" s="6515"/>
      <c r="CK7" s="6515"/>
      <c r="CL7" s="6515"/>
      <c r="CM7" s="6515" t="str">
        <f>+BY7</f>
        <v>Dự kiến thực hiện năm 2024
(xác định theo mức chuẩn nghèo mới)</v>
      </c>
      <c r="CN7" s="6515"/>
      <c r="CO7" s="6515"/>
      <c r="CP7" s="6515"/>
      <c r="CQ7" s="6515"/>
      <c r="CR7" s="6680" t="str">
        <f>+CD7</f>
        <v>Dự kiến năm 2025</v>
      </c>
      <c r="CS7" s="6681"/>
      <c r="CT7" s="6681"/>
      <c r="CU7" s="6681"/>
      <c r="CV7" s="6682"/>
      <c r="CW7" s="6679" t="str">
        <f>+CI7</f>
        <v>Thực hiện năm 2023
(xác định theo mức chuẩn nghèo mới)</v>
      </c>
      <c r="CX7" s="6515"/>
      <c r="CY7" s="6515"/>
      <c r="CZ7" s="6515"/>
      <c r="DA7" s="6515" t="str">
        <f>+CM7</f>
        <v>Dự kiến thực hiện năm 2024
(xác định theo mức chuẩn nghèo mới)</v>
      </c>
      <c r="DB7" s="6515"/>
      <c r="DC7" s="6515"/>
      <c r="DD7" s="6515"/>
      <c r="DE7" s="6515"/>
      <c r="DF7" s="6680" t="str">
        <f>+CR7</f>
        <v>Dự kiến năm 2025</v>
      </c>
      <c r="DG7" s="6681"/>
      <c r="DH7" s="6681"/>
      <c r="DI7" s="6681"/>
      <c r="DJ7" s="6682"/>
      <c r="DK7" s="6679" t="str">
        <f>+CW7</f>
        <v>Thực hiện năm 2023
(xác định theo mức chuẩn nghèo mới)</v>
      </c>
      <c r="DL7" s="6515"/>
      <c r="DM7" s="6515"/>
      <c r="DN7" s="6515"/>
      <c r="DO7" s="6515" t="str">
        <f>+DA7</f>
        <v>Dự kiến thực hiện năm 2024
(xác định theo mức chuẩn nghèo mới)</v>
      </c>
      <c r="DP7" s="6515"/>
      <c r="DQ7" s="6515"/>
      <c r="DR7" s="6515"/>
      <c r="DS7" s="6515"/>
      <c r="DT7" s="6680" t="str">
        <f>+DF7</f>
        <v>Dự kiến năm 2025</v>
      </c>
      <c r="DU7" s="6681"/>
      <c r="DV7" s="6681"/>
      <c r="DW7" s="6681"/>
      <c r="DX7" s="6682"/>
      <c r="DY7" s="6679" t="str">
        <f>+DK7</f>
        <v>Thực hiện năm 2023
(xác định theo mức chuẩn nghèo mới)</v>
      </c>
      <c r="DZ7" s="6515"/>
      <c r="EA7" s="6515"/>
      <c r="EB7" s="6515"/>
      <c r="EC7" s="6515" t="str">
        <f>+DO7</f>
        <v>Dự kiến thực hiện năm 2024
(xác định theo mức chuẩn nghèo mới)</v>
      </c>
      <c r="ED7" s="6515"/>
      <c r="EE7" s="6515"/>
      <c r="EF7" s="6515"/>
      <c r="EG7" s="6515"/>
      <c r="EH7" s="6680" t="str">
        <f>+DT7</f>
        <v>Dự kiến năm 2025</v>
      </c>
      <c r="EI7" s="6681"/>
      <c r="EJ7" s="6681"/>
      <c r="EK7" s="6681"/>
      <c r="EL7" s="6682"/>
      <c r="EM7" s="6679" t="str">
        <f>+DY7</f>
        <v>Thực hiện năm 2023
(xác định theo mức chuẩn nghèo mới)</v>
      </c>
      <c r="EN7" s="6515"/>
      <c r="EO7" s="6515"/>
      <c r="EP7" s="6515"/>
      <c r="EQ7" s="6515" t="str">
        <f>+EC7</f>
        <v>Dự kiến thực hiện năm 2024
(xác định theo mức chuẩn nghèo mới)</v>
      </c>
      <c r="ER7" s="6515"/>
      <c r="ES7" s="6515"/>
      <c r="ET7" s="6515"/>
      <c r="EU7" s="6515"/>
      <c r="EV7" s="6680" t="str">
        <f>+EH7</f>
        <v>Dự kiến năm 2025</v>
      </c>
      <c r="EW7" s="6681"/>
      <c r="EX7" s="6681"/>
      <c r="EY7" s="6681"/>
      <c r="EZ7" s="6682"/>
      <c r="FA7" s="6679" t="str">
        <f>+EM7</f>
        <v>Thực hiện năm 2023
(xác định theo mức chuẩn nghèo mới)</v>
      </c>
      <c r="FB7" s="6515"/>
      <c r="FC7" s="6515"/>
      <c r="FD7" s="6515"/>
      <c r="FE7" s="6515" t="str">
        <f>+EQ7</f>
        <v>Dự kiến thực hiện năm 2024
(xác định theo mức chuẩn nghèo mới)</v>
      </c>
      <c r="FF7" s="6515"/>
      <c r="FG7" s="6515"/>
      <c r="FH7" s="6515"/>
      <c r="FI7" s="6515"/>
      <c r="FJ7" s="6680" t="str">
        <f>+EV7</f>
        <v>Dự kiến năm 2025</v>
      </c>
      <c r="FK7" s="6681"/>
      <c r="FL7" s="6681"/>
      <c r="FM7" s="6681"/>
      <c r="FN7" s="6682"/>
      <c r="FO7" s="6679" t="str">
        <f>+FA7</f>
        <v>Thực hiện năm 2023
(xác định theo mức chuẩn nghèo mới)</v>
      </c>
      <c r="FP7" s="6515"/>
      <c r="FQ7" s="6515"/>
      <c r="FR7" s="6515"/>
      <c r="FS7" s="6515" t="str">
        <f>+FE7</f>
        <v>Dự kiến thực hiện năm 2024
(xác định theo mức chuẩn nghèo mới)</v>
      </c>
      <c r="FT7" s="6515"/>
      <c r="FU7" s="6515"/>
      <c r="FV7" s="6515"/>
      <c r="FW7" s="6515"/>
      <c r="FX7" s="6680" t="str">
        <f>+FJ7</f>
        <v>Dự kiến năm 2025</v>
      </c>
      <c r="FY7" s="6681"/>
      <c r="FZ7" s="6681"/>
      <c r="GA7" s="6681"/>
      <c r="GB7" s="6682"/>
    </row>
    <row r="8" spans="1:184" s="49" customFormat="1" ht="139.19999999999999">
      <c r="A8" s="6687"/>
      <c r="B8" s="6515"/>
      <c r="C8" s="2512" t="s">
        <v>1600</v>
      </c>
      <c r="D8" s="2512" t="s">
        <v>1209</v>
      </c>
      <c r="E8" s="2512" t="s">
        <v>1601</v>
      </c>
      <c r="F8" s="2512" t="s">
        <v>1781</v>
      </c>
      <c r="G8" s="2512" t="s">
        <v>1600</v>
      </c>
      <c r="H8" s="2512" t="s">
        <v>1209</v>
      </c>
      <c r="I8" s="2512" t="s">
        <v>1603</v>
      </c>
      <c r="J8" s="2512" t="s">
        <v>1604</v>
      </c>
      <c r="K8" s="2512" t="s">
        <v>1602</v>
      </c>
      <c r="L8" s="2512" t="s">
        <v>987</v>
      </c>
      <c r="M8" s="2512" t="s">
        <v>1209</v>
      </c>
      <c r="N8" s="2512" t="s">
        <v>1782</v>
      </c>
      <c r="O8" s="2512" t="s">
        <v>1783</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1835</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1833</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1834</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084" t="s">
        <v>1786</v>
      </c>
      <c r="M22" s="6084"/>
      <c r="N22" s="6084"/>
      <c r="O22" s="6084"/>
      <c r="P22" s="6084"/>
      <c r="Z22" s="6084" t="str">
        <f>+L22</f>
        <v>Đồng Tháp, ngày     tháng     năm 2024</v>
      </c>
      <c r="AA22" s="6084"/>
      <c r="AB22" s="6084"/>
      <c r="AC22" s="6084"/>
      <c r="AD22" s="6084"/>
      <c r="AN22" s="6084" t="str">
        <f>+Z22</f>
        <v>Đồng Tháp, ngày     tháng     năm 2024</v>
      </c>
      <c r="AO22" s="6084"/>
      <c r="AP22" s="6084"/>
      <c r="AQ22" s="6084"/>
      <c r="AR22" s="6084"/>
      <c r="BB22" s="6084" t="str">
        <f>+AN22</f>
        <v>Đồng Tháp, ngày     tháng     năm 2024</v>
      </c>
      <c r="BC22" s="6084"/>
      <c r="BD22" s="6084"/>
      <c r="BE22" s="6084"/>
      <c r="BF22" s="6084"/>
      <c r="BP22" s="6084" t="str">
        <f>+BB22</f>
        <v>Đồng Tháp, ngày     tháng     năm 2024</v>
      </c>
      <c r="BQ22" s="6084"/>
      <c r="BR22" s="6084"/>
      <c r="BS22" s="6084"/>
      <c r="BT22" s="6084"/>
      <c r="CD22" s="6084" t="str">
        <f>+BP22</f>
        <v>Đồng Tháp, ngày     tháng     năm 2024</v>
      </c>
      <c r="CE22" s="6084"/>
      <c r="CF22" s="6084"/>
      <c r="CG22" s="6084"/>
      <c r="CH22" s="6084"/>
      <c r="CR22" s="6084" t="str">
        <f>+CD22</f>
        <v>Đồng Tháp, ngày     tháng     năm 2024</v>
      </c>
      <c r="CS22" s="6084"/>
      <c r="CT22" s="6084"/>
      <c r="CU22" s="6084"/>
      <c r="CV22" s="6084"/>
      <c r="DF22" s="6084" t="str">
        <f>+CR22</f>
        <v>Đồng Tháp, ngày     tháng     năm 2024</v>
      </c>
      <c r="DG22" s="6084"/>
      <c r="DH22" s="6084"/>
      <c r="DI22" s="6084"/>
      <c r="DJ22" s="6084"/>
      <c r="DT22" s="6084" t="str">
        <f>+DF22</f>
        <v>Đồng Tháp, ngày     tháng     năm 2024</v>
      </c>
      <c r="DU22" s="6084"/>
      <c r="DV22" s="6084"/>
      <c r="DW22" s="6084"/>
      <c r="DX22" s="6084"/>
      <c r="EH22" s="6084" t="str">
        <f>+DT22</f>
        <v>Đồng Tháp, ngày     tháng     năm 2024</v>
      </c>
      <c r="EI22" s="6084"/>
      <c r="EJ22" s="6084"/>
      <c r="EK22" s="6084"/>
      <c r="EL22" s="6084"/>
      <c r="EV22" s="6084" t="str">
        <f>+EH22</f>
        <v>Đồng Tháp, ngày     tháng     năm 2024</v>
      </c>
      <c r="EW22" s="6084"/>
      <c r="EX22" s="6084"/>
      <c r="EY22" s="6084"/>
      <c r="EZ22" s="6084"/>
      <c r="FJ22" s="6084" t="str">
        <f>+EV22</f>
        <v>Đồng Tháp, ngày     tháng     năm 2024</v>
      </c>
      <c r="FK22" s="6084"/>
      <c r="FL22" s="6084"/>
      <c r="FM22" s="6084"/>
      <c r="FN22" s="6084"/>
      <c r="FX22" s="6084" t="str">
        <f>+FJ22</f>
        <v>Đồng Tháp, ngày     tháng     năm 2024</v>
      </c>
      <c r="FY22" s="6084"/>
      <c r="FZ22" s="6084"/>
      <c r="GA22" s="6084"/>
      <c r="GB22" s="6084"/>
    </row>
    <row r="23" spans="1:184">
      <c r="A23" s="2553"/>
      <c r="B23" s="319" t="s">
        <v>1611</v>
      </c>
      <c r="G23" s="6082" t="s">
        <v>1612</v>
      </c>
      <c r="H23" s="6082"/>
      <c r="I23" s="6082"/>
      <c r="J23" s="6082"/>
      <c r="K23" s="6082"/>
      <c r="L23" s="6082" t="s">
        <v>1613</v>
      </c>
      <c r="M23" s="6082"/>
      <c r="N23" s="6082"/>
      <c r="O23" s="6082"/>
      <c r="P23" s="6082"/>
      <c r="U23" s="6082" t="s">
        <v>1612</v>
      </c>
      <c r="V23" s="6082"/>
      <c r="W23" s="6082"/>
      <c r="X23" s="6082"/>
      <c r="Y23" s="6082"/>
      <c r="Z23" s="6082" t="s">
        <v>1613</v>
      </c>
      <c r="AA23" s="6082"/>
      <c r="AB23" s="6082"/>
      <c r="AC23" s="6082"/>
      <c r="AD23" s="6082"/>
      <c r="AI23" s="6082" t="s">
        <v>1612</v>
      </c>
      <c r="AJ23" s="6082"/>
      <c r="AK23" s="6082"/>
      <c r="AL23" s="6082"/>
      <c r="AM23" s="6082"/>
      <c r="AN23" s="6082" t="s">
        <v>1613</v>
      </c>
      <c r="AO23" s="6082"/>
      <c r="AP23" s="6082"/>
      <c r="AQ23" s="6082"/>
      <c r="AR23" s="6082"/>
      <c r="AW23" s="6082" t="s">
        <v>1612</v>
      </c>
      <c r="AX23" s="6082"/>
      <c r="AY23" s="6082"/>
      <c r="AZ23" s="6082"/>
      <c r="BA23" s="6082"/>
      <c r="BB23" s="6082" t="s">
        <v>1613</v>
      </c>
      <c r="BC23" s="6082"/>
      <c r="BD23" s="6082"/>
      <c r="BE23" s="6082"/>
      <c r="BF23" s="6082"/>
      <c r="BK23" s="6082" t="s">
        <v>1612</v>
      </c>
      <c r="BL23" s="6082"/>
      <c r="BM23" s="6082"/>
      <c r="BN23" s="6082"/>
      <c r="BO23" s="6082"/>
      <c r="BP23" s="6082" t="s">
        <v>1613</v>
      </c>
      <c r="BQ23" s="6082"/>
      <c r="BR23" s="6082"/>
      <c r="BS23" s="6082"/>
      <c r="BT23" s="6082"/>
      <c r="BY23" s="6082" t="s">
        <v>1612</v>
      </c>
      <c r="BZ23" s="6082"/>
      <c r="CA23" s="6082"/>
      <c r="CB23" s="6082"/>
      <c r="CC23" s="6082"/>
      <c r="CD23" s="6082" t="s">
        <v>1613</v>
      </c>
      <c r="CE23" s="6082"/>
      <c r="CF23" s="6082"/>
      <c r="CG23" s="6082"/>
      <c r="CH23" s="6082"/>
      <c r="CM23" s="6082" t="s">
        <v>1612</v>
      </c>
      <c r="CN23" s="6082"/>
      <c r="CO23" s="6082"/>
      <c r="CP23" s="6082"/>
      <c r="CQ23" s="6082"/>
      <c r="CR23" s="6082" t="s">
        <v>1613</v>
      </c>
      <c r="CS23" s="6082"/>
      <c r="CT23" s="6082"/>
      <c r="CU23" s="6082"/>
      <c r="CV23" s="6082"/>
      <c r="DA23" s="6082" t="s">
        <v>1612</v>
      </c>
      <c r="DB23" s="6082"/>
      <c r="DC23" s="6082"/>
      <c r="DD23" s="6082"/>
      <c r="DE23" s="6082"/>
      <c r="DF23" s="6082" t="s">
        <v>1613</v>
      </c>
      <c r="DG23" s="6082"/>
      <c r="DH23" s="6082"/>
      <c r="DI23" s="6082"/>
      <c r="DJ23" s="6082"/>
      <c r="DO23" s="6082" t="s">
        <v>1612</v>
      </c>
      <c r="DP23" s="6082"/>
      <c r="DQ23" s="6082"/>
      <c r="DR23" s="6082"/>
      <c r="DS23" s="6082"/>
      <c r="DT23" s="6082" t="s">
        <v>1613</v>
      </c>
      <c r="DU23" s="6082"/>
      <c r="DV23" s="6082"/>
      <c r="DW23" s="6082"/>
      <c r="DX23" s="6082"/>
      <c r="EC23" s="6082" t="s">
        <v>1612</v>
      </c>
      <c r="ED23" s="6082"/>
      <c r="EE23" s="6082"/>
      <c r="EF23" s="6082"/>
      <c r="EG23" s="6082"/>
      <c r="EH23" s="6082" t="s">
        <v>1613</v>
      </c>
      <c r="EI23" s="6082"/>
      <c r="EJ23" s="6082"/>
      <c r="EK23" s="6082"/>
      <c r="EL23" s="6082"/>
      <c r="EQ23" s="6082" t="s">
        <v>1612</v>
      </c>
      <c r="ER23" s="6082"/>
      <c r="ES23" s="6082"/>
      <c r="ET23" s="6082"/>
      <c r="EU23" s="6082"/>
      <c r="EV23" s="6082" t="s">
        <v>1613</v>
      </c>
      <c r="EW23" s="6082"/>
      <c r="EX23" s="6082"/>
      <c r="EY23" s="6082"/>
      <c r="EZ23" s="6082"/>
      <c r="FE23" s="6082" t="s">
        <v>1612</v>
      </c>
      <c r="FF23" s="6082"/>
      <c r="FG23" s="6082"/>
      <c r="FH23" s="6082"/>
      <c r="FI23" s="6082"/>
      <c r="FJ23" s="6082" t="s">
        <v>1613</v>
      </c>
      <c r="FK23" s="6082"/>
      <c r="FL23" s="6082"/>
      <c r="FM23" s="6082"/>
      <c r="FN23" s="6082"/>
      <c r="FS23" s="6082" t="s">
        <v>1612</v>
      </c>
      <c r="FT23" s="6082"/>
      <c r="FU23" s="6082"/>
      <c r="FV23" s="6082"/>
      <c r="FW23" s="6082"/>
      <c r="FX23" s="6082" t="s">
        <v>1613</v>
      </c>
      <c r="FY23" s="6082"/>
      <c r="FZ23" s="6082"/>
      <c r="GA23" s="6082"/>
      <c r="GB23" s="6082"/>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15">
        <f>(AC24*$O$26)</f>
        <v>13323.758032636268</v>
      </c>
      <c r="AQ27" s="5215">
        <f>(AQ24*$O$26)</f>
        <v>7377.52897740754</v>
      </c>
      <c r="BE27" s="5215">
        <f>(BE24*$O$26)</f>
        <v>10435.725794633185</v>
      </c>
      <c r="BS27" s="5215">
        <f>(BS24*$O$26)</f>
        <v>5301.3408371845935</v>
      </c>
      <c r="CG27" s="5215">
        <f>(CG24*$O$26)</f>
        <v>10848.418889482789</v>
      </c>
      <c r="CU27" s="5215">
        <f>(CU24*$O$26)</f>
        <v>14487.235054122637</v>
      </c>
      <c r="DI27" s="5215">
        <f>(DI24*$O$26)</f>
        <v>24195.724636092982</v>
      </c>
      <c r="DW27" s="5215">
        <f>(DW24*$O$26)</f>
        <v>11303.010526687096</v>
      </c>
      <c r="EK27" s="5215">
        <f>(EK24*$O$26)</f>
        <v>23248.515685107792</v>
      </c>
      <c r="EY27" s="5215">
        <f>(EY24*$O$26)</f>
        <v>14099.517199497026</v>
      </c>
      <c r="FM27" s="5215">
        <f>(FM24*$O$26)</f>
        <v>9709.1192461169012</v>
      </c>
      <c r="GA27" s="5215">
        <f>(GA24*$O$26)</f>
        <v>13880.105121031198</v>
      </c>
    </row>
    <row r="28" spans="1:184">
      <c r="A28" s="2555"/>
      <c r="O28" s="2526">
        <f>SUM(AC28,AQ28,BE28,BS28,CG28,CU28,DI28,DW28,EK28,EY28,FM28,GA28)</f>
        <v>135262.76799999998</v>
      </c>
      <c r="AC28" s="5238">
        <f>+AC10-AC27</f>
        <v>11391.241967363732</v>
      </c>
      <c r="AQ28" s="5238">
        <f>+AQ10-AQ27</f>
        <v>6307.47102259246</v>
      </c>
      <c r="BE28" s="5238">
        <f>+BE10-BE27</f>
        <v>8922.0982053668158</v>
      </c>
      <c r="BS28" s="5238">
        <f>+BS10-BS27</f>
        <v>4532.4191628154067</v>
      </c>
      <c r="CG28" s="5238">
        <f>+CG10-CG27</f>
        <v>9274.9331105172096</v>
      </c>
      <c r="CU28" s="5238">
        <f>+CU10-CU27</f>
        <v>12385.964945877364</v>
      </c>
      <c r="DI28" s="5238">
        <f>+DI10-DI27</f>
        <v>20686.307363907017</v>
      </c>
      <c r="DW28" s="5238">
        <f>+DW10-DW27</f>
        <v>9663.5894733129026</v>
      </c>
      <c r="EK28" s="5238">
        <f>+EK10-EK27</f>
        <v>19876.484314892208</v>
      </c>
      <c r="EY28" s="5238">
        <f>+EY10-EY27</f>
        <v>12054.482800502974</v>
      </c>
      <c r="FM28" s="5238">
        <f>+FM10-FM27</f>
        <v>8300.8807538830988</v>
      </c>
      <c r="GA28" s="5238">
        <f>+GA10-GA27</f>
        <v>11866.894878968802</v>
      </c>
    </row>
    <row r="29" spans="1:184">
      <c r="A29" s="2555"/>
    </row>
    <row r="30" spans="1:184">
      <c r="A30" s="2553"/>
      <c r="O30" s="5197">
        <v>190053</v>
      </c>
    </row>
    <row r="31" spans="1:184">
      <c r="A31" s="2553"/>
      <c r="O31" s="5196">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140" t="s">
        <v>1758</v>
      </c>
      <c r="B1" s="6140"/>
      <c r="C1" s="6140"/>
      <c r="D1" s="6140"/>
      <c r="E1" s="6140"/>
      <c r="F1" s="6140"/>
      <c r="G1" s="6140"/>
      <c r="H1" s="6140"/>
      <c r="I1" s="6140"/>
      <c r="J1" s="6140"/>
      <c r="K1" s="6140"/>
      <c r="L1" s="6140"/>
      <c r="M1" s="6140"/>
    </row>
    <row r="3" spans="1:13">
      <c r="M3" s="1409" t="s">
        <v>246</v>
      </c>
    </row>
    <row r="4" spans="1:13" s="1382" customFormat="1">
      <c r="A4" s="6402" t="s">
        <v>247</v>
      </c>
      <c r="B4" s="6560" t="s">
        <v>1759</v>
      </c>
      <c r="C4" s="6696" t="s">
        <v>645</v>
      </c>
      <c r="D4" s="6697"/>
      <c r="E4" s="6697"/>
      <c r="F4" s="6697"/>
      <c r="G4" s="6697"/>
      <c r="H4" s="6697"/>
      <c r="I4" s="6697"/>
      <c r="J4" s="6697"/>
      <c r="K4" s="6697"/>
      <c r="L4" s="6698"/>
      <c r="M4" s="6560" t="s">
        <v>861</v>
      </c>
    </row>
    <row r="5" spans="1:13" s="1382" customFormat="1">
      <c r="A5" s="6330"/>
      <c r="B5" s="6695"/>
      <c r="C5" s="6134" t="s">
        <v>1858</v>
      </c>
      <c r="D5" s="6134" t="s">
        <v>1760</v>
      </c>
      <c r="E5" s="6134" t="s">
        <v>1761</v>
      </c>
      <c r="F5" s="6134" t="s">
        <v>1555</v>
      </c>
      <c r="G5" s="6134" t="s">
        <v>1762</v>
      </c>
      <c r="H5" s="6134"/>
      <c r="I5" s="6134" t="s">
        <v>1762</v>
      </c>
      <c r="J5" s="6134"/>
      <c r="K5" s="6134" t="s">
        <v>1762</v>
      </c>
      <c r="L5" s="6134"/>
      <c r="M5" s="6695"/>
    </row>
    <row r="6" spans="1:13" s="1382" customFormat="1" ht="62.4">
      <c r="A6" s="6331"/>
      <c r="B6" s="6403"/>
      <c r="C6" s="6134"/>
      <c r="D6" s="6134"/>
      <c r="E6" s="6134"/>
      <c r="F6" s="6134"/>
      <c r="G6" s="1383" t="s">
        <v>1763</v>
      </c>
      <c r="H6" s="1383" t="s">
        <v>1762</v>
      </c>
      <c r="I6" s="1383" t="s">
        <v>1764</v>
      </c>
      <c r="J6" s="1383" t="s">
        <v>1765</v>
      </c>
      <c r="K6" s="1383" t="s">
        <v>1856</v>
      </c>
      <c r="L6" s="1383" t="s">
        <v>1857</v>
      </c>
      <c r="M6" s="6403"/>
    </row>
    <row r="7" spans="1:13" s="1382" customFormat="1">
      <c r="A7" s="2846">
        <v>1</v>
      </c>
      <c r="B7" s="2846">
        <v>2</v>
      </c>
      <c r="C7" s="2846"/>
      <c r="D7" s="2846"/>
      <c r="E7" s="2846" t="s">
        <v>1766</v>
      </c>
      <c r="F7" s="2846">
        <v>4</v>
      </c>
      <c r="G7" s="2846">
        <v>5</v>
      </c>
      <c r="H7" s="2846" t="s">
        <v>1767</v>
      </c>
      <c r="I7" s="2846"/>
      <c r="J7" s="2846"/>
      <c r="K7" s="2846"/>
      <c r="L7" s="2846"/>
      <c r="M7" s="2846">
        <v>7</v>
      </c>
    </row>
    <row r="8" spans="1:13" s="763" customFormat="1" ht="25.5" customHeight="1">
      <c r="A8" s="2847">
        <v>1</v>
      </c>
      <c r="B8" s="2848" t="s">
        <v>251</v>
      </c>
      <c r="C8" s="2849">
        <f>L8</f>
        <v>200</v>
      </c>
      <c r="D8" s="2849">
        <f>J8</f>
        <v>0</v>
      </c>
      <c r="E8" s="4920">
        <f>F8+H8</f>
        <v>8796</v>
      </c>
      <c r="F8" s="4920">
        <v>8396</v>
      </c>
      <c r="G8" s="4920">
        <v>4000</v>
      </c>
      <c r="H8" s="4920">
        <f>INT(G8*10%)</f>
        <v>400</v>
      </c>
      <c r="I8" s="4920">
        <f>IF('[28]Phụ lục 6.1 Chi'!P63&lt;0,0,'[28]Phụ lục 6.1 Chi'!P63)</f>
        <v>0</v>
      </c>
      <c r="J8" s="4921">
        <f>(I8*10%)</f>
        <v>0</v>
      </c>
      <c r="K8" s="4922">
        <f>'Phụ lục số 8.1'!N50</f>
        <v>2000</v>
      </c>
      <c r="L8" s="4922">
        <f>K8*10%</f>
        <v>200</v>
      </c>
      <c r="M8" s="4923"/>
    </row>
    <row r="9" spans="1:13" s="763" customFormat="1" ht="25.5" customHeight="1">
      <c r="A9" s="2850">
        <v>2</v>
      </c>
      <c r="B9" s="2851" t="s">
        <v>252</v>
      </c>
      <c r="C9" s="2852">
        <f t="shared" ref="C9:C19" si="0">L9</f>
        <v>0</v>
      </c>
      <c r="D9" s="2852">
        <f>J9</f>
        <v>60.054508638145698</v>
      </c>
      <c r="E9" s="4921">
        <f t="shared" ref="E9:E19" si="1">F9+H9</f>
        <v>6409</v>
      </c>
      <c r="F9" s="4921">
        <v>6009</v>
      </c>
      <c r="G9" s="4921">
        <v>4000</v>
      </c>
      <c r="H9" s="4921">
        <f t="shared" ref="H9:H19" si="2">INT(G9*10%)</f>
        <v>400</v>
      </c>
      <c r="I9" s="2853">
        <f>'[28]Phụ lục 6.1 Chi'!V43</f>
        <v>600.54508638145694</v>
      </c>
      <c r="J9" s="2854">
        <f>(I9*10%)</f>
        <v>60.054508638145698</v>
      </c>
      <c r="K9" s="2854">
        <f>'Phụ lục số 8.1'!V50</f>
        <v>0</v>
      </c>
      <c r="L9" s="4922">
        <f>K9*10%</f>
        <v>0</v>
      </c>
      <c r="M9" s="4924"/>
    </row>
    <row r="10" spans="1:13" s="763" customFormat="1" ht="25.5" customHeight="1">
      <c r="A10" s="2850">
        <v>3</v>
      </c>
      <c r="B10" s="2851" t="s">
        <v>253</v>
      </c>
      <c r="C10" s="2852">
        <f t="shared" si="0"/>
        <v>0</v>
      </c>
      <c r="D10" s="2852">
        <f>J10</f>
        <v>575.8259883746822</v>
      </c>
      <c r="E10" s="4921">
        <f>F10+H10</f>
        <v>8511</v>
      </c>
      <c r="F10" s="4921">
        <v>7811</v>
      </c>
      <c r="G10" s="4921">
        <v>7000</v>
      </c>
      <c r="H10" s="4921">
        <f>INT(G10*10%)</f>
        <v>700</v>
      </c>
      <c r="I10" s="2853">
        <f>'[28]Phụ lục 6.1 Chi'!AD43</f>
        <v>5758.2598837468213</v>
      </c>
      <c r="J10" s="4921">
        <f t="shared" ref="J10:J19" si="3">(I10*10%)</f>
        <v>575.8259883746822</v>
      </c>
      <c r="K10" s="4921"/>
      <c r="L10" s="4922">
        <f t="shared" ref="L10:L19" si="4">K10*10%</f>
        <v>0</v>
      </c>
      <c r="M10" s="4924"/>
    </row>
    <row r="11" spans="1:13" s="763" customFormat="1" ht="25.5" customHeight="1">
      <c r="A11" s="2850">
        <v>4</v>
      </c>
      <c r="B11" s="2851" t="s">
        <v>254</v>
      </c>
      <c r="C11" s="2852">
        <f t="shared" si="0"/>
        <v>0</v>
      </c>
      <c r="D11" s="2852">
        <f t="shared" ref="D11:D19" si="5">J11</f>
        <v>273.22123367437069</v>
      </c>
      <c r="E11" s="4921">
        <f t="shared" si="1"/>
        <v>9169</v>
      </c>
      <c r="F11" s="4921">
        <v>8369</v>
      </c>
      <c r="G11" s="4921">
        <v>8000</v>
      </c>
      <c r="H11" s="4921">
        <f t="shared" si="2"/>
        <v>800</v>
      </c>
      <c r="I11" s="2853">
        <f>'[28]Phụ lục 6.1 Chi'!AL43</f>
        <v>2732.2123367437066</v>
      </c>
      <c r="J11" s="4921">
        <f t="shared" si="3"/>
        <v>273.22123367437069</v>
      </c>
      <c r="K11" s="4921">
        <f>'Phụ lục số 8.1'!AL50</f>
        <v>0</v>
      </c>
      <c r="L11" s="4922">
        <f t="shared" si="4"/>
        <v>0</v>
      </c>
      <c r="M11" s="4924"/>
    </row>
    <row r="12" spans="1:13" s="763" customFormat="1" ht="25.5" customHeight="1">
      <c r="A12" s="2850">
        <v>5</v>
      </c>
      <c r="B12" s="2851" t="s">
        <v>255</v>
      </c>
      <c r="C12" s="2852">
        <f t="shared" si="0"/>
        <v>0</v>
      </c>
      <c r="D12" s="2852">
        <f t="shared" si="5"/>
        <v>2544.9044324105798</v>
      </c>
      <c r="E12" s="4921">
        <f t="shared" si="1"/>
        <v>10215</v>
      </c>
      <c r="F12" s="4921">
        <v>9615</v>
      </c>
      <c r="G12" s="4921">
        <v>6000</v>
      </c>
      <c r="H12" s="4921">
        <f t="shared" si="2"/>
        <v>600</v>
      </c>
      <c r="I12" s="2853">
        <f>'[28]Phụ lục 6.1 Chi'!AT43</f>
        <v>25449.044324105798</v>
      </c>
      <c r="J12" s="4921">
        <f t="shared" si="3"/>
        <v>2544.9044324105798</v>
      </c>
      <c r="K12" s="4921">
        <f>'Phụ lục số 8.1'!AT50</f>
        <v>0</v>
      </c>
      <c r="L12" s="4922">
        <f t="shared" si="4"/>
        <v>0</v>
      </c>
      <c r="M12" s="4924"/>
    </row>
    <row r="13" spans="1:13" s="763" customFormat="1" ht="25.5" customHeight="1">
      <c r="A13" s="2850">
        <v>6</v>
      </c>
      <c r="B13" s="2851" t="s">
        <v>256</v>
      </c>
      <c r="C13" s="2852">
        <f t="shared" si="0"/>
        <v>1457.5</v>
      </c>
      <c r="D13" s="2852">
        <f t="shared" si="5"/>
        <v>12198.344142151807</v>
      </c>
      <c r="E13" s="4921">
        <f t="shared" si="1"/>
        <v>12804</v>
      </c>
      <c r="F13" s="4921">
        <v>12104</v>
      </c>
      <c r="G13" s="4921">
        <v>7000</v>
      </c>
      <c r="H13" s="4921">
        <f t="shared" si="2"/>
        <v>700</v>
      </c>
      <c r="I13" s="2853">
        <f>'[28]Phụ lục 6.1 Chi'!BB43</f>
        <v>121983.44142151806</v>
      </c>
      <c r="J13" s="4921">
        <f t="shared" si="3"/>
        <v>12198.344142151807</v>
      </c>
      <c r="K13" s="4921">
        <f>'Phụ lục số 8.1'!BB50</f>
        <v>14575</v>
      </c>
      <c r="L13" s="4922">
        <f t="shared" si="4"/>
        <v>1457.5</v>
      </c>
      <c r="M13" s="4924"/>
    </row>
    <row r="14" spans="1:13" s="763" customFormat="1" ht="25.5" customHeight="1">
      <c r="A14" s="2850">
        <v>7</v>
      </c>
      <c r="B14" s="2851" t="s">
        <v>257</v>
      </c>
      <c r="C14" s="2852">
        <f t="shared" si="0"/>
        <v>0</v>
      </c>
      <c r="D14" s="2852">
        <f t="shared" si="5"/>
        <v>1717.5070488188319</v>
      </c>
      <c r="E14" s="4921">
        <f t="shared" si="1"/>
        <v>13710</v>
      </c>
      <c r="F14" s="4921">
        <v>12910</v>
      </c>
      <c r="G14" s="4921">
        <v>8000</v>
      </c>
      <c r="H14" s="4921">
        <f t="shared" si="2"/>
        <v>800</v>
      </c>
      <c r="I14" s="2853">
        <f>'[28]Phụ lục 6.1 Chi'!BJ43</f>
        <v>17175.070488188318</v>
      </c>
      <c r="J14" s="4921">
        <f t="shared" si="3"/>
        <v>1717.5070488188319</v>
      </c>
      <c r="K14" s="4921">
        <f>'Phụ lục số 8.1'!BJ50</f>
        <v>0</v>
      </c>
      <c r="L14" s="4922">
        <f t="shared" si="4"/>
        <v>0</v>
      </c>
      <c r="M14" s="4924"/>
    </row>
    <row r="15" spans="1:13" s="763" customFormat="1" ht="25.5" customHeight="1">
      <c r="A15" s="2850">
        <v>8</v>
      </c>
      <c r="B15" s="2851" t="s">
        <v>258</v>
      </c>
      <c r="C15" s="2852">
        <f t="shared" si="0"/>
        <v>47.5</v>
      </c>
      <c r="D15" s="2852">
        <f t="shared" si="5"/>
        <v>738.63338839258017</v>
      </c>
      <c r="E15" s="4921">
        <f t="shared" si="1"/>
        <v>11468</v>
      </c>
      <c r="F15" s="4921">
        <v>10768</v>
      </c>
      <c r="G15" s="4921">
        <v>7000</v>
      </c>
      <c r="H15" s="4921">
        <f t="shared" si="2"/>
        <v>700</v>
      </c>
      <c r="I15" s="2853">
        <f>'[28]Phụ lục 6.1 Chi'!BR43</f>
        <v>7386.3338839258013</v>
      </c>
      <c r="J15" s="4921">
        <f t="shared" si="3"/>
        <v>738.63338839258017</v>
      </c>
      <c r="K15" s="4921">
        <f>'Phụ lục số 8.1'!BR50</f>
        <v>475</v>
      </c>
      <c r="L15" s="4922">
        <f t="shared" si="4"/>
        <v>47.5</v>
      </c>
      <c r="M15" s="4924"/>
    </row>
    <row r="16" spans="1:13" s="763" customFormat="1" ht="25.5" customHeight="1">
      <c r="A16" s="2850">
        <v>9</v>
      </c>
      <c r="B16" s="2851" t="s">
        <v>259</v>
      </c>
      <c r="C16" s="2852">
        <f t="shared" si="0"/>
        <v>0</v>
      </c>
      <c r="D16" s="2852">
        <f t="shared" si="5"/>
        <v>1996.937547413263</v>
      </c>
      <c r="E16" s="4921">
        <f t="shared" si="1"/>
        <v>11760</v>
      </c>
      <c r="F16" s="4921">
        <v>11060</v>
      </c>
      <c r="G16" s="4921">
        <v>7000</v>
      </c>
      <c r="H16" s="4921">
        <f t="shared" si="2"/>
        <v>700</v>
      </c>
      <c r="I16" s="2853">
        <f>'[28]Phụ lục 6.1 Chi'!BZ43</f>
        <v>19969.37547413263</v>
      </c>
      <c r="J16" s="4921">
        <f t="shared" si="3"/>
        <v>1996.937547413263</v>
      </c>
      <c r="K16" s="4921">
        <f>'Phụ lục số 8.1'!BZ50</f>
        <v>0</v>
      </c>
      <c r="L16" s="4922">
        <f t="shared" si="4"/>
        <v>0</v>
      </c>
      <c r="M16" s="4924"/>
    </row>
    <row r="17" spans="1:13" s="763" customFormat="1" ht="25.5" customHeight="1">
      <c r="A17" s="2850">
        <v>10</v>
      </c>
      <c r="B17" s="2851" t="s">
        <v>260</v>
      </c>
      <c r="C17" s="2852">
        <f t="shared" si="0"/>
        <v>949.2600000000001</v>
      </c>
      <c r="D17" s="2852">
        <f t="shared" si="5"/>
        <v>2.5509571213825667E-2</v>
      </c>
      <c r="E17" s="4921">
        <f t="shared" si="1"/>
        <v>10274</v>
      </c>
      <c r="F17" s="4921">
        <v>9574</v>
      </c>
      <c r="G17" s="4921">
        <v>7000</v>
      </c>
      <c r="H17" s="4921">
        <f t="shared" si="2"/>
        <v>700</v>
      </c>
      <c r="I17" s="2853">
        <f>'[28]Phụ lục 6.1 Chi'!CH43</f>
        <v>0.25509571213825666</v>
      </c>
      <c r="J17" s="4921">
        <f t="shared" si="3"/>
        <v>2.5509571213825667E-2</v>
      </c>
      <c r="K17" s="4921">
        <f>'Phụ lục số 8.1'!CH50</f>
        <v>9492.6</v>
      </c>
      <c r="L17" s="4922">
        <f t="shared" si="4"/>
        <v>949.2600000000001</v>
      </c>
      <c r="M17" s="4924"/>
    </row>
    <row r="18" spans="1:13" s="763" customFormat="1" ht="25.5" customHeight="1">
      <c r="A18" s="2850">
        <v>11</v>
      </c>
      <c r="B18" s="2851" t="s">
        <v>261</v>
      </c>
      <c r="C18" s="2852">
        <f t="shared" si="0"/>
        <v>0</v>
      </c>
      <c r="D18" s="2852">
        <f t="shared" si="5"/>
        <v>3464.8364037845445</v>
      </c>
      <c r="E18" s="4921">
        <f>F18+H18</f>
        <v>11336</v>
      </c>
      <c r="F18" s="4921">
        <v>10936</v>
      </c>
      <c r="G18" s="4921">
        <v>4000</v>
      </c>
      <c r="H18" s="4921">
        <f t="shared" si="2"/>
        <v>400</v>
      </c>
      <c r="I18" s="2853">
        <f>'[28]Phụ lục 6.1 Chi'!CP43</f>
        <v>34648.364037845444</v>
      </c>
      <c r="J18" s="4921">
        <f t="shared" si="3"/>
        <v>3464.8364037845445</v>
      </c>
      <c r="K18" s="4921">
        <f>'Phụ lục số 8.1'!CP50</f>
        <v>0</v>
      </c>
      <c r="L18" s="4922">
        <f t="shared" si="4"/>
        <v>0</v>
      </c>
      <c r="M18" s="4924"/>
    </row>
    <row r="19" spans="1:13" s="763" customFormat="1" ht="25.5" customHeight="1">
      <c r="A19" s="2850">
        <v>12</v>
      </c>
      <c r="B19" s="2851" t="s">
        <v>262</v>
      </c>
      <c r="C19" s="2852">
        <f t="shared" si="0"/>
        <v>0</v>
      </c>
      <c r="D19" s="2852">
        <f t="shared" si="5"/>
        <v>1729.7333069020206</v>
      </c>
      <c r="E19" s="4921">
        <f t="shared" si="1"/>
        <v>9763</v>
      </c>
      <c r="F19" s="4921">
        <v>9163</v>
      </c>
      <c r="G19" s="4921">
        <v>6000</v>
      </c>
      <c r="H19" s="4921">
        <f t="shared" si="2"/>
        <v>600</v>
      </c>
      <c r="I19" s="2853">
        <f>'[28]Phụ lục 6.1 Chi'!CX43</f>
        <v>17297.333069020206</v>
      </c>
      <c r="J19" s="4921">
        <f t="shared" si="3"/>
        <v>1729.7333069020206</v>
      </c>
      <c r="K19" s="4921">
        <f>'Phụ lục số 8.1'!CX50</f>
        <v>0</v>
      </c>
      <c r="L19" s="4922">
        <f t="shared" si="4"/>
        <v>0</v>
      </c>
      <c r="M19" s="4924"/>
    </row>
    <row r="20" spans="1:13" s="763" customFormat="1" ht="31.2">
      <c r="A20" s="2850" t="s">
        <v>3</v>
      </c>
      <c r="B20" s="2855" t="s">
        <v>1768</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25" t="s">
        <v>249</v>
      </c>
      <c r="C21" s="4925"/>
      <c r="D21" s="4925"/>
      <c r="E21" s="4925"/>
      <c r="F21" s="4925"/>
      <c r="G21" s="4925"/>
      <c r="H21" s="4925"/>
      <c r="I21" s="4925"/>
      <c r="J21" s="4925"/>
      <c r="K21" s="4925"/>
      <c r="L21" s="4925"/>
      <c r="M21" s="4925"/>
    </row>
    <row r="22" spans="1:13" s="763" customFormat="1" ht="27.75" customHeight="1">
      <c r="A22" s="2858" t="s">
        <v>182</v>
      </c>
      <c r="B22" s="2859" t="s">
        <v>1769</v>
      </c>
      <c r="C22" s="3018">
        <f>C21+C20</f>
        <v>2654.26</v>
      </c>
      <c r="D22" s="2859"/>
      <c r="E22" s="4926"/>
      <c r="F22" s="4926"/>
      <c r="G22" s="4926"/>
      <c r="H22" s="4927"/>
      <c r="I22" s="4927"/>
      <c r="J22" s="4927"/>
      <c r="K22" s="4927"/>
      <c r="L22" s="4927"/>
      <c r="M22" s="4926"/>
    </row>
    <row r="23" spans="1:13" s="2861" customFormat="1" ht="31.2">
      <c r="A23" s="1383" t="s">
        <v>215</v>
      </c>
      <c r="B23" s="2860" t="s">
        <v>1770</v>
      </c>
      <c r="C23" s="2860"/>
      <c r="D23" s="2860"/>
      <c r="E23" s="2860"/>
      <c r="F23" s="2860"/>
      <c r="G23" s="2860"/>
      <c r="H23" s="2860"/>
      <c r="I23" s="2860"/>
      <c r="J23" s="2860"/>
      <c r="K23" s="2860"/>
      <c r="L23" s="2860"/>
      <c r="M23" s="2860"/>
    </row>
    <row r="24" spans="1:13" s="763" customFormat="1" ht="25.5" customHeight="1">
      <c r="A24" s="1383" t="s">
        <v>718</v>
      </c>
      <c r="B24" s="2862" t="s">
        <v>1771</v>
      </c>
      <c r="C24" s="2862"/>
      <c r="D24" s="4928">
        <f>D22-D23</f>
        <v>0</v>
      </c>
      <c r="E24" s="4929"/>
      <c r="F24" s="4929"/>
      <c r="G24" s="4929"/>
      <c r="H24" s="4929"/>
      <c r="I24" s="4929"/>
      <c r="J24" s="4929"/>
      <c r="K24" s="4929"/>
      <c r="L24" s="4929"/>
      <c r="M24" s="4929"/>
    </row>
    <row r="32" spans="1:13">
      <c r="E32" s="1">
        <v>167395</v>
      </c>
      <c r="H32" s="1">
        <v>103205</v>
      </c>
      <c r="M32" s="1">
        <v>132508</v>
      </c>
    </row>
    <row r="33" spans="5:13">
      <c r="E33" s="1703">
        <f>+E32-E20</f>
        <v>43180</v>
      </c>
      <c r="M33" s="1">
        <f>M32-H32</f>
        <v>29303</v>
      </c>
    </row>
    <row r="34" spans="5:13">
      <c r="M34" s="1">
        <v>160</v>
      </c>
    </row>
    <row r="35" spans="5:13">
      <c r="E35" s="4930">
        <v>9045866</v>
      </c>
      <c r="M35" s="1">
        <v>60</v>
      </c>
    </row>
    <row r="36" spans="5:13">
      <c r="E36" s="4930">
        <v>9402554</v>
      </c>
      <c r="M36" s="1">
        <f>+M34*M35</f>
        <v>9600</v>
      </c>
    </row>
    <row r="37" spans="5:13">
      <c r="E37" s="4931">
        <f>+E36-E35</f>
        <v>356688</v>
      </c>
      <c r="M37" s="1">
        <f>9000/M34</f>
        <v>56.25</v>
      </c>
    </row>
    <row r="38" spans="5:13">
      <c r="E38" s="4930">
        <f>+E37*10%</f>
        <v>35668.800000000003</v>
      </c>
    </row>
    <row r="39" spans="5:13">
      <c r="E39" s="4931">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140"/>
      <c r="P1" s="6140"/>
      <c r="AA1" s="6140"/>
      <c r="AB1" s="6140"/>
      <c r="AC1" s="6140" t="s">
        <v>1159</v>
      </c>
      <c r="AD1" s="6140"/>
    </row>
    <row r="2" spans="1:31">
      <c r="A2" s="6135" t="s">
        <v>1160</v>
      </c>
      <c r="B2" s="6135"/>
      <c r="C2" s="6135"/>
      <c r="D2" s="6135"/>
      <c r="E2" s="6135"/>
      <c r="F2" s="6135"/>
      <c r="G2" s="6135"/>
      <c r="H2" s="6135"/>
      <c r="I2" s="6135"/>
      <c r="J2" s="6135"/>
      <c r="K2" s="6135"/>
      <c r="L2" s="6135"/>
      <c r="M2" s="6135"/>
      <c r="N2" s="6135"/>
      <c r="O2" s="6135"/>
      <c r="P2" s="6135"/>
      <c r="Q2" s="6135"/>
      <c r="R2" s="6135"/>
      <c r="S2" s="6135"/>
      <c r="T2" s="6135"/>
      <c r="U2" s="6135"/>
      <c r="V2" s="6135"/>
      <c r="W2" s="6135"/>
      <c r="X2" s="6135"/>
      <c r="Y2" s="6135"/>
      <c r="Z2" s="6135"/>
      <c r="AA2" s="6135"/>
      <c r="AB2" s="6135"/>
      <c r="AC2" s="6135"/>
      <c r="AD2" s="6135"/>
    </row>
    <row r="3" spans="1:31">
      <c r="A3" s="6135"/>
      <c r="B3" s="6135"/>
      <c r="C3" s="6135"/>
      <c r="D3" s="6135"/>
      <c r="E3" s="6135"/>
      <c r="F3" s="6135"/>
      <c r="G3" s="6135"/>
      <c r="H3" s="6135"/>
      <c r="I3" s="6135"/>
      <c r="J3" s="6135"/>
      <c r="K3" s="6135"/>
      <c r="L3" s="6135"/>
      <c r="M3" s="6135"/>
      <c r="N3" s="6135"/>
      <c r="O3" s="6135"/>
      <c r="P3" s="6135"/>
      <c r="Q3" s="6135"/>
      <c r="R3" s="6135"/>
      <c r="S3" s="6135"/>
      <c r="T3" s="6135"/>
      <c r="U3" s="6135"/>
      <c r="V3" s="6135"/>
      <c r="W3" s="6135"/>
      <c r="X3" s="6135"/>
      <c r="Y3" s="6135"/>
      <c r="Z3" s="6135"/>
      <c r="AA3" s="6135"/>
      <c r="AB3" s="6135"/>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141" t="s">
        <v>1121</v>
      </c>
      <c r="AA4" s="6141"/>
      <c r="AB4" s="6141"/>
      <c r="AC4" s="1382"/>
      <c r="AD4" s="1382"/>
    </row>
    <row r="5" spans="1:31" ht="16.5" customHeight="1">
      <c r="A5" s="6075" t="s">
        <v>200</v>
      </c>
      <c r="B5" s="6134" t="s">
        <v>1161</v>
      </c>
      <c r="C5" s="6138" t="s">
        <v>985</v>
      </c>
      <c r="D5" s="6138"/>
      <c r="E5" s="6138"/>
      <c r="F5" s="6138"/>
      <c r="G5" s="6138"/>
      <c r="H5" s="6138"/>
      <c r="I5" s="6138"/>
      <c r="J5" s="6138"/>
      <c r="K5" s="6138"/>
      <c r="L5" s="6138"/>
      <c r="M5" s="6138"/>
      <c r="N5" s="6138"/>
      <c r="O5" s="6138"/>
      <c r="P5" s="6138"/>
      <c r="Q5" s="6139" t="s">
        <v>1122</v>
      </c>
      <c r="R5" s="6139"/>
      <c r="S5" s="6139"/>
      <c r="T5" s="6139"/>
      <c r="U5" s="6139"/>
      <c r="V5" s="6139"/>
      <c r="W5" s="6139"/>
      <c r="X5" s="6139"/>
      <c r="Y5" s="6139"/>
      <c r="Z5" s="6139"/>
      <c r="AA5" s="6139"/>
      <c r="AB5" s="6139"/>
      <c r="AC5" s="6139"/>
      <c r="AD5" s="6139"/>
    </row>
    <row r="6" spans="1:31" ht="15.75" customHeight="1">
      <c r="A6" s="6075"/>
      <c r="B6" s="6134"/>
      <c r="C6" s="6134" t="s">
        <v>1162</v>
      </c>
      <c r="D6" s="6134"/>
      <c r="E6" s="6134"/>
      <c r="F6" s="6134"/>
      <c r="G6" s="6134"/>
      <c r="H6" s="6134"/>
      <c r="I6" s="6134"/>
      <c r="J6" s="6134"/>
      <c r="K6" s="6134" t="s">
        <v>1023</v>
      </c>
      <c r="L6" s="6134"/>
      <c r="M6" s="6134" t="s">
        <v>1163</v>
      </c>
      <c r="N6" s="6134" t="s">
        <v>1164</v>
      </c>
      <c r="O6" s="6134" t="s">
        <v>996</v>
      </c>
      <c r="P6" s="6136" t="s">
        <v>1125</v>
      </c>
      <c r="Q6" s="6134" t="s">
        <v>1162</v>
      </c>
      <c r="R6" s="6134"/>
      <c r="S6" s="6134"/>
      <c r="T6" s="6134"/>
      <c r="U6" s="6134"/>
      <c r="V6" s="6134"/>
      <c r="W6" s="6134"/>
      <c r="X6" s="6134"/>
      <c r="Y6" s="6134" t="s">
        <v>1023</v>
      </c>
      <c r="Z6" s="6134"/>
      <c r="AA6" s="6134" t="s">
        <v>1163</v>
      </c>
      <c r="AB6" s="6134" t="s">
        <v>1164</v>
      </c>
      <c r="AC6" s="6134" t="s">
        <v>1165</v>
      </c>
      <c r="AD6" s="6136" t="s">
        <v>1125</v>
      </c>
    </row>
    <row r="7" spans="1:31" ht="15.75" customHeight="1">
      <c r="A7" s="6075"/>
      <c r="B7" s="6134"/>
      <c r="C7" s="6134" t="s">
        <v>1166</v>
      </c>
      <c r="D7" s="6134"/>
      <c r="E7" s="6134"/>
      <c r="F7" s="6134"/>
      <c r="G7" s="6137" t="s">
        <v>1167</v>
      </c>
      <c r="H7" s="6137"/>
      <c r="I7" s="6137"/>
      <c r="J7" s="6137"/>
      <c r="K7" s="6134"/>
      <c r="L7" s="6134"/>
      <c r="M7" s="6134"/>
      <c r="N7" s="6134"/>
      <c r="O7" s="6134"/>
      <c r="P7" s="6136"/>
      <c r="Q7" s="6134" t="s">
        <v>1168</v>
      </c>
      <c r="R7" s="6134"/>
      <c r="S7" s="6134"/>
      <c r="T7" s="6134"/>
      <c r="U7" s="6137" t="s">
        <v>1169</v>
      </c>
      <c r="V7" s="6137"/>
      <c r="W7" s="6137"/>
      <c r="X7" s="6137"/>
      <c r="Y7" s="6134"/>
      <c r="Z7" s="6134"/>
      <c r="AA7" s="6134"/>
      <c r="AB7" s="6134"/>
      <c r="AC7" s="6134"/>
      <c r="AD7" s="6136"/>
    </row>
    <row r="8" spans="1:31" ht="117" customHeight="1">
      <c r="A8" s="6075"/>
      <c r="B8" s="6134"/>
      <c r="C8" s="1383" t="s">
        <v>1170</v>
      </c>
      <c r="D8" s="1383" t="s">
        <v>1171</v>
      </c>
      <c r="E8" s="1383" t="s">
        <v>1172</v>
      </c>
      <c r="F8" s="1383" t="s">
        <v>1173</v>
      </c>
      <c r="G8" s="1383" t="s">
        <v>1170</v>
      </c>
      <c r="H8" s="1383" t="s">
        <v>1171</v>
      </c>
      <c r="I8" s="1383" t="s">
        <v>1172</v>
      </c>
      <c r="J8" s="1383" t="s">
        <v>1129</v>
      </c>
      <c r="K8" s="1383" t="s">
        <v>1174</v>
      </c>
      <c r="L8" s="1383" t="s">
        <v>1175</v>
      </c>
      <c r="M8" s="6134"/>
      <c r="N8" s="6134"/>
      <c r="O8" s="6134"/>
      <c r="P8" s="6136"/>
      <c r="Q8" s="1383" t="s">
        <v>1170</v>
      </c>
      <c r="R8" s="1383" t="s">
        <v>1171</v>
      </c>
      <c r="S8" s="1383" t="s">
        <v>1172</v>
      </c>
      <c r="T8" s="1383" t="s">
        <v>1173</v>
      </c>
      <c r="U8" s="1383" t="s">
        <v>1170</v>
      </c>
      <c r="V8" s="1383" t="s">
        <v>1171</v>
      </c>
      <c r="W8" s="1383" t="s">
        <v>1172</v>
      </c>
      <c r="X8" s="1383" t="s">
        <v>1129</v>
      </c>
      <c r="Y8" s="1383" t="s">
        <v>1174</v>
      </c>
      <c r="Z8" s="1383" t="s">
        <v>1175</v>
      </c>
      <c r="AA8" s="6134"/>
      <c r="AB8" s="6134"/>
      <c r="AC8" s="6134"/>
      <c r="AD8" s="6136"/>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30"/>
      <c r="M27" s="6130"/>
      <c r="N27" s="6130"/>
      <c r="O27" s="6130"/>
      <c r="P27" s="6130"/>
      <c r="Z27" s="6130"/>
      <c r="AA27" s="6130"/>
      <c r="AB27" s="6130"/>
      <c r="AC27" s="6130"/>
      <c r="AD27" s="6130"/>
    </row>
    <row r="28" spans="1:31">
      <c r="L28" s="6123"/>
      <c r="M28" s="6123"/>
      <c r="N28" s="6123"/>
      <c r="O28" s="6123"/>
      <c r="P28" s="6123"/>
      <c r="Z28" s="6123"/>
      <c r="AA28" s="6123"/>
      <c r="AB28" s="6123"/>
      <c r="AC28" s="6123"/>
      <c r="AD28" s="6123"/>
    </row>
    <row r="29" spans="1:31">
      <c r="L29" s="6123"/>
      <c r="M29" s="6123"/>
      <c r="N29" s="6123"/>
      <c r="O29" s="6123"/>
      <c r="P29" s="6123"/>
      <c r="Z29" s="6123"/>
      <c r="AA29" s="6123"/>
      <c r="AB29" s="6123"/>
      <c r="AC29" s="6123"/>
      <c r="AD29" s="6123"/>
    </row>
    <row r="30" spans="1:31">
      <c r="L30" s="6129"/>
      <c r="M30" s="6129"/>
      <c r="N30" s="6129"/>
      <c r="O30" s="6129"/>
      <c r="P30" s="6129"/>
      <c r="Z30" s="6129"/>
      <c r="AA30" s="6129"/>
      <c r="AB30" s="6129"/>
      <c r="AC30" s="6129"/>
      <c r="AD30" s="6129"/>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082" t="s">
        <v>3164</v>
      </c>
      <c r="B1" s="6082"/>
      <c r="C1" s="6082"/>
      <c r="D1" s="6082"/>
      <c r="E1" s="6082"/>
      <c r="F1" s="6082"/>
      <c r="G1" s="6082"/>
      <c r="H1" s="6082"/>
      <c r="I1" s="6082"/>
      <c r="J1" s="6082"/>
      <c r="K1" s="6082"/>
      <c r="L1" s="6082"/>
      <c r="M1" s="6082"/>
      <c r="N1" s="6082"/>
      <c r="O1" s="6082"/>
      <c r="P1" s="6082"/>
      <c r="Q1" s="6082"/>
      <c r="R1" s="6082"/>
      <c r="S1" s="6082"/>
      <c r="T1" s="6082"/>
      <c r="U1" s="6082"/>
      <c r="V1" s="6082"/>
    </row>
    <row r="2" spans="1:22">
      <c r="A2" s="6524" t="str">
        <f>+'Phụ lục số 8'!A2:O2</f>
        <v>(Kèm theo Báo cáo số     462/BC-UBND ngày 22 tháng 11 năm 2024 của Ủy ban nhân dân tỉnh Đồng Tháp)</v>
      </c>
      <c r="B2" s="6524"/>
      <c r="C2" s="6524"/>
      <c r="D2" s="6524"/>
      <c r="E2" s="6524"/>
      <c r="F2" s="6524"/>
      <c r="G2" s="6524"/>
      <c r="H2" s="6524"/>
      <c r="I2" s="6524"/>
      <c r="J2" s="6524"/>
      <c r="K2" s="6524"/>
      <c r="L2" s="6524"/>
      <c r="M2" s="6524"/>
      <c r="N2" s="6524"/>
      <c r="O2" s="6524"/>
      <c r="P2" s="6524"/>
      <c r="Q2" s="6524"/>
      <c r="R2" s="6524"/>
      <c r="S2" s="6524"/>
      <c r="T2" s="6524"/>
      <c r="U2" s="6524"/>
      <c r="V2" s="6524"/>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08" t="s">
        <v>638</v>
      </c>
      <c r="S4" s="6508"/>
      <c r="T4" s="6508"/>
      <c r="U4" s="6508"/>
      <c r="V4" s="6508"/>
    </row>
    <row r="5" spans="1:22" s="49" customFormat="1" ht="16.5" customHeight="1" thickTop="1">
      <c r="A5" s="6503" t="s">
        <v>247</v>
      </c>
      <c r="B5" s="6571" t="s">
        <v>1526</v>
      </c>
      <c r="C5" s="6571" t="s">
        <v>3195</v>
      </c>
      <c r="D5" s="6571" t="s">
        <v>1527</v>
      </c>
      <c r="E5" s="6571"/>
      <c r="F5" s="6571"/>
      <c r="G5" s="6571"/>
      <c r="H5" s="6571"/>
      <c r="I5" s="6571"/>
      <c r="J5" s="6571"/>
      <c r="K5" s="6571"/>
      <c r="L5" s="6571"/>
      <c r="M5" s="6571" t="s">
        <v>3169</v>
      </c>
      <c r="N5" s="6227" t="s">
        <v>3168</v>
      </c>
      <c r="O5" s="6228"/>
      <c r="P5" s="6228"/>
      <c r="Q5" s="6228"/>
      <c r="R5" s="6228"/>
      <c r="S5" s="6228"/>
      <c r="T5" s="6228"/>
      <c r="U5" s="6228"/>
      <c r="V5" s="6229"/>
    </row>
    <row r="6" spans="1:22" s="49" customFormat="1" ht="15.75" customHeight="1">
      <c r="A6" s="6703"/>
      <c r="B6" s="6295"/>
      <c r="C6" s="6295"/>
      <c r="D6" s="6295" t="s">
        <v>1528</v>
      </c>
      <c r="E6" s="6295" t="s">
        <v>1529</v>
      </c>
      <c r="F6" s="6295" t="s">
        <v>645</v>
      </c>
      <c r="G6" s="6295"/>
      <c r="H6" s="6295" t="s">
        <v>1530</v>
      </c>
      <c r="I6" s="6295" t="s">
        <v>645</v>
      </c>
      <c r="J6" s="6295"/>
      <c r="K6" s="6295"/>
      <c r="L6" s="6295" t="s">
        <v>1531</v>
      </c>
      <c r="M6" s="6295"/>
      <c r="N6" s="6701" t="s">
        <v>208</v>
      </c>
      <c r="O6" s="6701"/>
      <c r="P6" s="6701"/>
      <c r="Q6" s="6701" t="s">
        <v>209</v>
      </c>
      <c r="R6" s="6701"/>
      <c r="S6" s="6701"/>
      <c r="T6" s="6702" t="s">
        <v>175</v>
      </c>
      <c r="U6" s="6704" t="s">
        <v>176</v>
      </c>
      <c r="V6" s="6705" t="s">
        <v>825</v>
      </c>
    </row>
    <row r="7" spans="1:22" s="49" customFormat="1" ht="15.75" customHeight="1">
      <c r="A7" s="6703"/>
      <c r="B7" s="6295"/>
      <c r="C7" s="6295"/>
      <c r="D7" s="6295"/>
      <c r="E7" s="6295"/>
      <c r="F7" s="6295"/>
      <c r="G7" s="6295"/>
      <c r="H7" s="6295"/>
      <c r="I7" s="6295" t="s">
        <v>205</v>
      </c>
      <c r="J7" s="6295" t="s">
        <v>3163</v>
      </c>
      <c r="K7" s="6295" t="s">
        <v>3167</v>
      </c>
      <c r="L7" s="6295"/>
      <c r="M7" s="6295"/>
      <c r="N7" s="6295" t="s">
        <v>387</v>
      </c>
      <c r="O7" s="6295" t="s">
        <v>645</v>
      </c>
      <c r="P7" s="6295"/>
      <c r="Q7" s="6295" t="s">
        <v>387</v>
      </c>
      <c r="R7" s="6506" t="s">
        <v>645</v>
      </c>
      <c r="S7" s="6506"/>
      <c r="T7" s="6295"/>
      <c r="U7" s="6704"/>
      <c r="V7" s="6705"/>
    </row>
    <row r="8" spans="1:22" s="49" customFormat="1" ht="278.25" customHeight="1">
      <c r="A8" s="6703"/>
      <c r="B8" s="6295"/>
      <c r="C8" s="6295"/>
      <c r="D8" s="6295"/>
      <c r="E8" s="6295"/>
      <c r="F8" s="2247" t="s">
        <v>1533</v>
      </c>
      <c r="G8" s="2247" t="s">
        <v>1534</v>
      </c>
      <c r="H8" s="6295"/>
      <c r="I8" s="6295"/>
      <c r="J8" s="6295"/>
      <c r="K8" s="6295"/>
      <c r="L8" s="6295"/>
      <c r="M8" s="6295"/>
      <c r="N8" s="6295"/>
      <c r="O8" s="2247" t="s">
        <v>143</v>
      </c>
      <c r="P8" s="2247" t="s">
        <v>144</v>
      </c>
      <c r="Q8" s="6295"/>
      <c r="R8" s="2247" t="s">
        <v>824</v>
      </c>
      <c r="S8" s="2247" t="s">
        <v>740</v>
      </c>
      <c r="T8" s="6295"/>
      <c r="U8" s="6702"/>
      <c r="V8" s="6706"/>
    </row>
    <row r="9" spans="1:22" s="49" customFormat="1" ht="17.399999999999999">
      <c r="A9" s="2763">
        <v>1</v>
      </c>
      <c r="B9" s="2764">
        <v>2</v>
      </c>
      <c r="C9" s="2764">
        <v>3</v>
      </c>
      <c r="D9" s="2764" t="s">
        <v>3166</v>
      </c>
      <c r="E9" s="2764" t="s">
        <v>1536</v>
      </c>
      <c r="F9" s="2764">
        <v>6</v>
      </c>
      <c r="G9" s="2764">
        <v>7</v>
      </c>
      <c r="H9" s="2764" t="s">
        <v>3165</v>
      </c>
      <c r="I9" s="2764">
        <v>9</v>
      </c>
      <c r="J9" s="2764">
        <v>10</v>
      </c>
      <c r="K9" s="2764">
        <v>11</v>
      </c>
      <c r="L9" s="2764">
        <v>12</v>
      </c>
      <c r="M9" s="2764" t="s">
        <v>3171</v>
      </c>
      <c r="N9" s="2764" t="s">
        <v>3170</v>
      </c>
      <c r="O9" s="2764">
        <v>15</v>
      </c>
      <c r="P9" s="2764">
        <v>16</v>
      </c>
      <c r="Q9" s="2764" t="s">
        <v>2395</v>
      </c>
      <c r="R9" s="2764">
        <v>18</v>
      </c>
      <c r="S9" s="2764">
        <v>19</v>
      </c>
      <c r="T9" s="2764">
        <v>20</v>
      </c>
      <c r="U9" s="51">
        <v>21</v>
      </c>
      <c r="V9" s="1640">
        <v>22</v>
      </c>
    </row>
    <row r="10" spans="1:22" s="2770" customFormat="1" ht="36" customHeight="1">
      <c r="A10" s="2765">
        <v>1</v>
      </c>
      <c r="B10" s="2766" t="s">
        <v>811</v>
      </c>
      <c r="C10" s="4977">
        <f>'Phụ lục số 7'!F7</f>
        <v>156150</v>
      </c>
      <c r="D10" s="4991">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4994">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78">
        <f>'Phụ lục số 8'!D16</f>
        <v>19302.758032636266</v>
      </c>
    </row>
    <row r="11" spans="1:22" s="2770" customFormat="1" ht="36" customHeight="1">
      <c r="A11" s="603">
        <v>2</v>
      </c>
      <c r="B11" s="1929" t="s">
        <v>252</v>
      </c>
      <c r="C11" s="4979">
        <f>'Phụ lục số 7'!I7</f>
        <v>392350</v>
      </c>
      <c r="D11" s="4992">
        <f t="shared" ref="D11:D21" si="0">SUM(E11,H11,L11)</f>
        <v>767830.174</v>
      </c>
      <c r="E11" s="4980">
        <f>'Phụ lục số 7'!K7</f>
        <v>353410</v>
      </c>
      <c r="F11" s="4980">
        <f t="shared" ref="F11:F21" si="1">E11-G11</f>
        <v>31350</v>
      </c>
      <c r="G11" s="4980">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0">
        <f>N11+Q11+T11+U11+V11</f>
        <v>767830.17399999988</v>
      </c>
      <c r="N11" s="4980">
        <f t="shared" ref="N11:N21" si="3">O11+P11</f>
        <v>289000</v>
      </c>
      <c r="O11" s="4980">
        <f>'Phụ lục số 8'!E8</f>
        <v>28000</v>
      </c>
      <c r="P11" s="4980">
        <f>'Phụ lục số 8'!E9</f>
        <v>261000</v>
      </c>
      <c r="Q11" s="4980">
        <f t="shared" ref="Q11:Q21" si="4">SUM(R11:S11)</f>
        <v>452281.24502259243</v>
      </c>
      <c r="R11" s="4980">
        <f>'Phụ lục số 8'!E12</f>
        <v>232764.4</v>
      </c>
      <c r="S11" s="4980">
        <f>'Phụ lục số 8'!E13</f>
        <v>219516.84502259243</v>
      </c>
      <c r="T11" s="4980">
        <f>'Phụ lục số 8'!E14</f>
        <v>14699.4</v>
      </c>
      <c r="U11" s="4980">
        <f>'Phụ lục số 8'!E15</f>
        <v>0</v>
      </c>
      <c r="V11" s="4981">
        <f>'Phụ lục số 8'!E16</f>
        <v>11849.528977407539</v>
      </c>
    </row>
    <row r="12" spans="1:22" s="2770" customFormat="1" ht="36" customHeight="1">
      <c r="A12" s="603">
        <v>3</v>
      </c>
      <c r="B12" s="1929" t="s">
        <v>812</v>
      </c>
      <c r="C12" s="4979">
        <f>'Phụ lục số 7'!L7</f>
        <v>104800</v>
      </c>
      <c r="D12" s="4992">
        <f t="shared" si="0"/>
        <v>713376.21900000004</v>
      </c>
      <c r="E12" s="4980">
        <f>'Phụ lục số 7'!N7</f>
        <v>98950</v>
      </c>
      <c r="F12" s="4980">
        <f t="shared" si="1"/>
        <v>24150</v>
      </c>
      <c r="G12" s="4980">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0">
        <f>N12+Q12+T12+U12+V12</f>
        <v>713376.21900000004</v>
      </c>
      <c r="N12" s="4980">
        <f t="shared" si="3"/>
        <v>59000</v>
      </c>
      <c r="O12" s="4980">
        <f>'Phụ lục số 8'!F8</f>
        <v>32000</v>
      </c>
      <c r="P12" s="4980">
        <f>'Phụ lục số 8'!F9</f>
        <v>27000</v>
      </c>
      <c r="Q12" s="4980">
        <f t="shared" si="4"/>
        <v>621134.09320536687</v>
      </c>
      <c r="R12" s="4980">
        <f>'Phụ lục số 8'!F12</f>
        <v>354771.20000000001</v>
      </c>
      <c r="S12" s="4980">
        <f>'Phụ lục số 8'!F13</f>
        <v>266362.89320536685</v>
      </c>
      <c r="T12" s="4980">
        <f>'Phụ lục số 8'!F14</f>
        <v>12842.4</v>
      </c>
      <c r="U12" s="4980">
        <f>'Phụ lục số 8'!F15</f>
        <v>0</v>
      </c>
      <c r="V12" s="4981">
        <f>'Phụ lục số 8'!F16</f>
        <v>20399.725794633185</v>
      </c>
    </row>
    <row r="13" spans="1:22" s="2770" customFormat="1" ht="36" customHeight="1">
      <c r="A13" s="603">
        <v>4</v>
      </c>
      <c r="B13" s="1929" t="s">
        <v>813</v>
      </c>
      <c r="C13" s="4979">
        <f>'Phụ lục số 7'!O7</f>
        <v>155200</v>
      </c>
      <c r="D13" s="4992">
        <f t="shared" si="0"/>
        <v>778427.45200000005</v>
      </c>
      <c r="E13" s="4980">
        <f>'Phụ lục số 7'!Q7</f>
        <v>137300</v>
      </c>
      <c r="F13" s="4980">
        <f t="shared" si="1"/>
        <v>33700</v>
      </c>
      <c r="G13" s="4980">
        <f>'Phụ lục số 7'!Q10+'Phụ lục số 7'!Q11+'Phụ lục số 7'!Q15+'Phụ lục số 7'!Q27+'Phụ lục số 7'!Q30</f>
        <v>103600</v>
      </c>
      <c r="H13" s="4980">
        <f t="shared" si="2"/>
        <v>624717.45200000005</v>
      </c>
      <c r="I13" s="4980">
        <f>'Phụ lục số 7'!Q37</f>
        <v>388772</v>
      </c>
      <c r="J13" s="4980">
        <f>'Phụ lục số 7'!Q38</f>
        <v>152060</v>
      </c>
      <c r="K13" s="4980">
        <f>'Phụ lục số 7'!Q39</f>
        <v>83885.45199999999</v>
      </c>
      <c r="L13" s="4980">
        <f>'Phụ lục số 7'!Q40</f>
        <v>16410</v>
      </c>
      <c r="M13" s="4430">
        <f t="shared" ref="M13:M21" si="5">N13+Q13+T13+U13+V13</f>
        <v>778427.45200000005</v>
      </c>
      <c r="N13" s="4980">
        <f t="shared" si="3"/>
        <v>84000</v>
      </c>
      <c r="O13" s="4980">
        <f>'Phụ lục số 8'!G8</f>
        <v>30000</v>
      </c>
      <c r="P13" s="4980">
        <f>'Phụ lục số 8'!G9</f>
        <v>54000</v>
      </c>
      <c r="Q13" s="4980">
        <f t="shared" si="4"/>
        <v>660673.11116281548</v>
      </c>
      <c r="R13" s="4980">
        <f>'Phụ lục số 8'!G12</f>
        <v>331568</v>
      </c>
      <c r="S13" s="4980">
        <f>'Phụ lục số 8'!G13</f>
        <v>329105.11116281548</v>
      </c>
      <c r="T13" s="4980">
        <f>'Phụ lục số 8'!G14</f>
        <v>13989</v>
      </c>
      <c r="U13" s="4980">
        <f>'Phụ lục số 8'!G15</f>
        <v>0</v>
      </c>
      <c r="V13" s="4981">
        <f>'Phụ lục số 8'!G16</f>
        <v>19765.340837184594</v>
      </c>
    </row>
    <row r="14" spans="1:22" s="2770" customFormat="1" ht="36" customHeight="1">
      <c r="A14" s="603">
        <v>5</v>
      </c>
      <c r="B14" s="1929" t="s">
        <v>814</v>
      </c>
      <c r="C14" s="4979">
        <f>'Phụ lục số 7'!R7</f>
        <v>196200</v>
      </c>
      <c r="D14" s="4992">
        <f t="shared" si="0"/>
        <v>950436.22600000002</v>
      </c>
      <c r="E14" s="4980">
        <f>'Phụ lục số 7'!T7</f>
        <v>180900</v>
      </c>
      <c r="F14" s="4980">
        <f t="shared" si="1"/>
        <v>43300</v>
      </c>
      <c r="G14" s="4980">
        <f>'Phụ lục số 7'!T10+'Phụ lục số 7'!T11+'Phụ lục số 7'!T15+'Phụ lục số 7'!T27+'Phụ lục số 7'!T30</f>
        <v>137600</v>
      </c>
      <c r="H14" s="4980">
        <f>SUM(I14:K14)</f>
        <v>751634.22600000002</v>
      </c>
      <c r="I14" s="4980">
        <f>'Phụ lục số 7'!T37</f>
        <v>449761</v>
      </c>
      <c r="J14" s="4980">
        <f>'Phụ lục số 7'!T38</f>
        <v>204980</v>
      </c>
      <c r="K14" s="4980">
        <f>'Phụ lục số 7'!T39</f>
        <v>96893.225999999995</v>
      </c>
      <c r="L14" s="4980">
        <f>'Phụ lục số 7'!T40</f>
        <v>17902</v>
      </c>
      <c r="M14" s="4430">
        <f t="shared" si="5"/>
        <v>950436.22600000002</v>
      </c>
      <c r="N14" s="4980">
        <f t="shared" si="3"/>
        <v>89000</v>
      </c>
      <c r="O14" s="4980">
        <f>'Phụ lục số 8'!H8</f>
        <v>44000</v>
      </c>
      <c r="P14" s="4980">
        <f>'Phụ lục số 8'!H9</f>
        <v>45000</v>
      </c>
      <c r="Q14" s="4980">
        <f t="shared" si="4"/>
        <v>822292.80711051729</v>
      </c>
      <c r="R14" s="4980">
        <f>'Phụ lục số 8'!H12</f>
        <v>448049</v>
      </c>
      <c r="S14" s="4980">
        <f>'Phụ lục số 8'!H13</f>
        <v>374243.80711051729</v>
      </c>
      <c r="T14" s="4980">
        <f>'Phụ lục số 8'!H14</f>
        <v>17519</v>
      </c>
      <c r="U14" s="4980">
        <f>'Phụ lục số 8'!H15</f>
        <v>0</v>
      </c>
      <c r="V14" s="4981">
        <f>'Phụ lục số 8'!H16</f>
        <v>21624.418889482789</v>
      </c>
    </row>
    <row r="15" spans="1:22" s="2770" customFormat="1" ht="36" customHeight="1">
      <c r="A15" s="603">
        <v>6</v>
      </c>
      <c r="B15" s="1929" t="s">
        <v>815</v>
      </c>
      <c r="C15" s="4979">
        <f>'Phụ lục số 7'!U7</f>
        <v>1501500</v>
      </c>
      <c r="D15" s="4992">
        <f t="shared" si="0"/>
        <v>1814306.929</v>
      </c>
      <c r="E15" s="4980">
        <f>'Phụ lục số 7'!W7</f>
        <v>1200500</v>
      </c>
      <c r="F15" s="4980">
        <f t="shared" si="1"/>
        <v>117800</v>
      </c>
      <c r="G15" s="4980">
        <f>'Phụ lục số 7'!W10+'Phụ lục số 7'!W11+'Phụ lục số 7'!W15+'Phụ lục số 7'!W27+'Phụ lục số 7'!W30</f>
        <v>1082700</v>
      </c>
      <c r="H15" s="4980">
        <f t="shared" si="2"/>
        <v>96559.929000000004</v>
      </c>
      <c r="I15" s="4980">
        <f>'Phụ lục số 7'!W37</f>
        <v>37354</v>
      </c>
      <c r="J15" s="4980">
        <f>'Phụ lục số 7'!W38</f>
        <v>0</v>
      </c>
      <c r="K15" s="4980">
        <f>'Phụ lục số 7'!W39</f>
        <v>59205.928999999996</v>
      </c>
      <c r="L15" s="4980">
        <f>'Phụ lục số 7'!W40</f>
        <v>517247</v>
      </c>
      <c r="M15" s="4430">
        <f t="shared" si="5"/>
        <v>1814306.929</v>
      </c>
      <c r="N15" s="4980">
        <f t="shared" si="3"/>
        <v>292000</v>
      </c>
      <c r="O15" s="4980">
        <f>'Phụ lục số 8'!I8</f>
        <v>148000</v>
      </c>
      <c r="P15" s="4980">
        <f>'Phụ lục số 8'!I9</f>
        <v>144000</v>
      </c>
      <c r="Q15" s="4980">
        <f t="shared" si="4"/>
        <v>996810.69394587737</v>
      </c>
      <c r="R15" s="4980">
        <f>'Phụ lục số 8'!I12</f>
        <v>481230</v>
      </c>
      <c r="S15" s="4980">
        <f>'Phụ lục số 8'!I13</f>
        <v>515580.69394587737</v>
      </c>
      <c r="T15" s="4980">
        <f>'Phụ lục số 8'!I14</f>
        <v>29340</v>
      </c>
      <c r="U15" s="4980">
        <f>'Phụ lục số 8'!I15</f>
        <v>479075</v>
      </c>
      <c r="V15" s="4981">
        <f>'Phụ lục số 8'!I16</f>
        <v>17081.235054122637</v>
      </c>
    </row>
    <row r="16" spans="1:22" s="2770" customFormat="1" ht="36" customHeight="1">
      <c r="A16" s="603">
        <v>7</v>
      </c>
      <c r="B16" s="1929" t="s">
        <v>816</v>
      </c>
      <c r="C16" s="4979">
        <f>'Phụ lục số 7'!X7</f>
        <v>266950</v>
      </c>
      <c r="D16" s="4992">
        <f t="shared" si="0"/>
        <v>1193776.621</v>
      </c>
      <c r="E16" s="4980">
        <f>'Phụ lục số 7'!Z7</f>
        <v>243800</v>
      </c>
      <c r="F16" s="4980">
        <f t="shared" si="1"/>
        <v>63050</v>
      </c>
      <c r="G16" s="4980">
        <f>'Phụ lục số 7'!Z10+'Phụ lục số 7'!Z11+'Phụ lục số 7'!Z15+'Phụ lục số 7'!Z27+'Phụ lục số 7'!Z30</f>
        <v>180750</v>
      </c>
      <c r="H16" s="4980">
        <f t="shared" si="2"/>
        <v>904084.62100000004</v>
      </c>
      <c r="I16" s="4980">
        <f>'Phụ lục số 7'!Z37</f>
        <v>566422</v>
      </c>
      <c r="J16" s="4980">
        <f>'Phụ lục số 7'!Z38</f>
        <v>199350</v>
      </c>
      <c r="K16" s="4980">
        <f>'Phụ lục số 7'!Z39</f>
        <v>138312.62099999998</v>
      </c>
      <c r="L16" s="4980">
        <f>'Phụ lục số 7'!Z40</f>
        <v>45892</v>
      </c>
      <c r="M16" s="4430">
        <f t="shared" si="5"/>
        <v>1193776.621</v>
      </c>
      <c r="N16" s="4980">
        <f t="shared" si="3"/>
        <v>114500</v>
      </c>
      <c r="O16" s="4980">
        <f>'Phụ lục số 8'!J8</f>
        <v>47000</v>
      </c>
      <c r="P16" s="4980">
        <f>'Phụ lục số 8'!J9</f>
        <v>67500</v>
      </c>
      <c r="Q16" s="4980">
        <f t="shared" si="4"/>
        <v>1019433.2963639069</v>
      </c>
      <c r="R16" s="4980">
        <f>'Phụ lục số 8'!J12</f>
        <v>538158.5</v>
      </c>
      <c r="S16" s="4980">
        <f>'Phụ lục số 8'!J13</f>
        <v>481274.79636390693</v>
      </c>
      <c r="T16" s="4980">
        <f>'Phụ lục số 8'!J14</f>
        <v>21524.6</v>
      </c>
      <c r="U16" s="4980">
        <f>'Phụ lục số 8'!J15</f>
        <v>0</v>
      </c>
      <c r="V16" s="4981">
        <f>'Phụ lục số 8'!J16</f>
        <v>38318.724636092986</v>
      </c>
    </row>
    <row r="17" spans="1:22" s="2770" customFormat="1" ht="36" customHeight="1">
      <c r="A17" s="603">
        <v>8</v>
      </c>
      <c r="B17" s="1929" t="s">
        <v>258</v>
      </c>
      <c r="C17" s="4979">
        <f>'Phụ lục số 7'!AA7</f>
        <v>278300</v>
      </c>
      <c r="D17" s="4992">
        <f t="shared" si="0"/>
        <v>1015582.879</v>
      </c>
      <c r="E17" s="4980">
        <f>'Phụ lục số 7'!AC7</f>
        <v>258700</v>
      </c>
      <c r="F17" s="4980">
        <f t="shared" si="1"/>
        <v>52300</v>
      </c>
      <c r="G17" s="4980">
        <f>'Phụ lục số 7'!AC10+'Phụ lục số 7'!AC11+'Phụ lục số 7'!AC15+'Phụ lục số 7'!AC27+'Phụ lục số 7'!AC30</f>
        <v>206400</v>
      </c>
      <c r="H17" s="4980">
        <f t="shared" si="2"/>
        <v>736843.87899999996</v>
      </c>
      <c r="I17" s="4980">
        <f>'Phụ lục số 7'!AC37</f>
        <v>441700</v>
      </c>
      <c r="J17" s="4980">
        <f>'Phụ lục số 7'!AC38</f>
        <v>179744</v>
      </c>
      <c r="K17" s="4980">
        <f>'Phụ lục số 7'!AC39</f>
        <v>115399.87899999999</v>
      </c>
      <c r="L17" s="4980">
        <f>'Phụ lục số 7'!AC40</f>
        <v>20039</v>
      </c>
      <c r="M17" s="4430">
        <f>N17+Q17+T17+U17+V17</f>
        <v>1015582.879</v>
      </c>
      <c r="N17" s="4980">
        <f t="shared" si="3"/>
        <v>130000</v>
      </c>
      <c r="O17" s="4980">
        <f>'Phụ lục số 8'!K8</f>
        <v>40000</v>
      </c>
      <c r="P17" s="4980">
        <f>'Phụ lục số 8'!K9</f>
        <v>90000</v>
      </c>
      <c r="Q17" s="4980">
        <f t="shared" si="4"/>
        <v>838525.81847331277</v>
      </c>
      <c r="R17" s="4980">
        <f>'Phụ lục số 8'!K12</f>
        <v>455069.2</v>
      </c>
      <c r="S17" s="4980">
        <f>'Phụ lục số 8'!K13</f>
        <v>383456.61847331276</v>
      </c>
      <c r="T17" s="4980">
        <f>'Phụ lục số 8'!K14</f>
        <v>18131.05</v>
      </c>
      <c r="U17" s="4980">
        <f>'Phụ lục số 8'!K15</f>
        <v>0</v>
      </c>
      <c r="V17" s="4981">
        <f>'Phụ lục số 8'!K16</f>
        <v>28926.010526687096</v>
      </c>
    </row>
    <row r="18" spans="1:22" s="2770" customFormat="1" ht="36" customHeight="1">
      <c r="A18" s="603">
        <v>9</v>
      </c>
      <c r="B18" s="1929" t="s">
        <v>259</v>
      </c>
      <c r="C18" s="4979">
        <f>'Phụ lục số 7'!AD7</f>
        <v>276200</v>
      </c>
      <c r="D18" s="4992">
        <f t="shared" si="0"/>
        <v>1007609.827</v>
      </c>
      <c r="E18" s="4980">
        <f>'Phụ lục số 7'!AF7</f>
        <v>256900</v>
      </c>
      <c r="F18" s="4980">
        <f t="shared" si="1"/>
        <v>57700</v>
      </c>
      <c r="G18" s="4980">
        <f>'Phụ lục số 7'!AF10+'Phụ lục số 7'!AF11+'Phụ lục số 7'!AF15+'Phụ lục số 7'!AF27+'Phụ lục số 7'!AF30</f>
        <v>199200</v>
      </c>
      <c r="H18" s="4980">
        <f t="shared" si="2"/>
        <v>750709.82700000005</v>
      </c>
      <c r="I18" s="4980">
        <f>'Phụ lục số 7'!AF37</f>
        <v>470689</v>
      </c>
      <c r="J18" s="4980">
        <f>'Phụ lục số 7'!AF38</f>
        <v>201862</v>
      </c>
      <c r="K18" s="4980">
        <f>'Phụ lục số 7'!AF39</f>
        <v>78158.827000000005</v>
      </c>
      <c r="L18" s="4980">
        <f>'Phụ lục số 7'!AF40</f>
        <v>0</v>
      </c>
      <c r="M18" s="4430">
        <f t="shared" si="5"/>
        <v>1007609.827</v>
      </c>
      <c r="N18" s="4980">
        <f t="shared" si="3"/>
        <v>96000</v>
      </c>
      <c r="O18" s="4980">
        <f>'Phụ lục số 8'!L8</f>
        <v>42000</v>
      </c>
      <c r="P18" s="4980">
        <f>'Phụ lục số 8'!L9</f>
        <v>54000</v>
      </c>
      <c r="Q18" s="4980">
        <f t="shared" si="4"/>
        <v>865247.91131489223</v>
      </c>
      <c r="R18" s="4980">
        <f>'Phụ lục số 8'!L12</f>
        <v>451849.5</v>
      </c>
      <c r="S18" s="4980">
        <f>'Phụ lục số 8'!L13</f>
        <v>413398.41131489223</v>
      </c>
      <c r="T18" s="4980">
        <f>'Phụ lục số 8'!L14</f>
        <v>18754.400000000001</v>
      </c>
      <c r="U18" s="4980">
        <f>'Phụ lục số 8'!L15</f>
        <v>0</v>
      </c>
      <c r="V18" s="4981">
        <f>'Phụ lục số 8'!L16</f>
        <v>27607.515685107792</v>
      </c>
    </row>
    <row r="19" spans="1:22" s="2770" customFormat="1" ht="36" customHeight="1">
      <c r="A19" s="603">
        <v>10</v>
      </c>
      <c r="B19" s="1929" t="s">
        <v>818</v>
      </c>
      <c r="C19" s="4979">
        <f>'Phụ lục số 7'!AG7</f>
        <v>221700</v>
      </c>
      <c r="D19" s="4992">
        <f t="shared" si="0"/>
        <v>891369.38300000003</v>
      </c>
      <c r="E19" s="4980">
        <f>'Phụ lục số 7'!AI7</f>
        <v>207080</v>
      </c>
      <c r="F19" s="4980">
        <f t="shared" si="1"/>
        <v>50900</v>
      </c>
      <c r="G19" s="4980">
        <f>'Phụ lục số 7'!AI10+'Phụ lục số 7'!AI11+'Phụ lục số 7'!AI15+'Phụ lục số 7'!AI27+'Phụ lục số 7'!AI30</f>
        <v>156180</v>
      </c>
      <c r="H19" s="4980">
        <f t="shared" si="2"/>
        <v>668080.38300000003</v>
      </c>
      <c r="I19" s="4980">
        <f>'Phụ lục số 7'!AI37</f>
        <v>440874</v>
      </c>
      <c r="J19" s="4980">
        <f>'Phụ lục số 7'!AI38</f>
        <v>175043</v>
      </c>
      <c r="K19" s="4980">
        <f>'Phụ lục số 7'!AI39</f>
        <v>52163.383000000002</v>
      </c>
      <c r="L19" s="4980">
        <f>'Phụ lục số 7'!AI40</f>
        <v>16209</v>
      </c>
      <c r="M19" s="4430">
        <f t="shared" si="5"/>
        <v>891369.38300000003</v>
      </c>
      <c r="N19" s="4980">
        <f t="shared" si="3"/>
        <v>98000</v>
      </c>
      <c r="O19" s="4980">
        <f>'Phụ lục số 8'!M8</f>
        <v>35000</v>
      </c>
      <c r="P19" s="4980">
        <f>'Phụ lục số 8'!M9</f>
        <v>63000</v>
      </c>
      <c r="Q19" s="4980">
        <f t="shared" si="4"/>
        <v>758129.46580050304</v>
      </c>
      <c r="R19" s="4980">
        <f>'Phụ lục số 8'!M12</f>
        <v>415824.2</v>
      </c>
      <c r="S19" s="4980">
        <f>'Phụ lục số 8'!M13</f>
        <v>342305.26580050302</v>
      </c>
      <c r="T19" s="4980">
        <f>'Phụ lục số 8'!M14</f>
        <v>16783.400000000001</v>
      </c>
      <c r="U19" s="4982">
        <f>'Phụ lục số 8'!M15</f>
        <v>0</v>
      </c>
      <c r="V19" s="4981">
        <f>'Phụ lục số 8'!M16</f>
        <v>18456.517199497026</v>
      </c>
    </row>
    <row r="20" spans="1:22" s="2770" customFormat="1" ht="36" customHeight="1">
      <c r="A20" s="603">
        <v>11</v>
      </c>
      <c r="B20" s="1929" t="s">
        <v>819</v>
      </c>
      <c r="C20" s="4979">
        <f>'Phụ lục số 7'!AJ7</f>
        <v>707000</v>
      </c>
      <c r="D20" s="4992">
        <f t="shared" si="0"/>
        <v>946873.73499999999</v>
      </c>
      <c r="E20" s="4980">
        <f>'Phụ lục số 7'!AL7</f>
        <v>439400</v>
      </c>
      <c r="F20" s="4980">
        <f t="shared" si="1"/>
        <v>68000</v>
      </c>
      <c r="G20" s="4980">
        <f>'Phụ lục số 7'!AL10+'Phụ lục số 7'!AL11+'Phụ lục số 7'!AL15+'Phụ lục số 7'!AL27+'Phụ lục số 7'!AL30</f>
        <v>371400</v>
      </c>
      <c r="H20" s="4980">
        <f t="shared" si="2"/>
        <v>304362.73499999999</v>
      </c>
      <c r="I20" s="4980">
        <f>'Phụ lục số 7'!AL37</f>
        <v>224584</v>
      </c>
      <c r="J20" s="4980">
        <f>'Phụ lục số 7'!AL38</f>
        <v>0</v>
      </c>
      <c r="K20" s="4980">
        <f>'Phụ lục số 7'!AL39</f>
        <v>79778.735000000001</v>
      </c>
      <c r="L20" s="4980">
        <f>'Phụ lục số 7'!AL40</f>
        <v>203111</v>
      </c>
      <c r="M20" s="4430">
        <f t="shared" si="5"/>
        <v>946873.73499999999</v>
      </c>
      <c r="N20" s="4980">
        <f t="shared" si="3"/>
        <v>227000</v>
      </c>
      <c r="O20" s="4980">
        <f>'Phụ lục số 8'!N8</f>
        <v>83000</v>
      </c>
      <c r="P20" s="4980">
        <f>'Phụ lục số 8'!N9</f>
        <v>144000</v>
      </c>
      <c r="Q20" s="4980">
        <f t="shared" si="4"/>
        <v>650267.61575388303</v>
      </c>
      <c r="R20" s="4980">
        <f>'Phụ lục số 8'!N12</f>
        <v>283567.59999999998</v>
      </c>
      <c r="S20" s="4980">
        <f>'Phụ lục số 8'!N13</f>
        <v>366700.01575388305</v>
      </c>
      <c r="T20" s="4980">
        <f>'Phụ lục số 8'!N14</f>
        <v>17717</v>
      </c>
      <c r="U20" s="4982">
        <f>'Phụ lục số 8'!N15</f>
        <v>40825</v>
      </c>
      <c r="V20" s="4981">
        <f>'Phụ lục số 8'!N16</f>
        <v>11064.119246116901</v>
      </c>
    </row>
    <row r="21" spans="1:22" s="2770" customFormat="1" ht="36" customHeight="1">
      <c r="A21" s="4983">
        <v>12</v>
      </c>
      <c r="B21" s="4984" t="s">
        <v>262</v>
      </c>
      <c r="C21" s="4985">
        <f>'Phụ lục số 7'!AM7</f>
        <v>237050</v>
      </c>
      <c r="D21" s="4993">
        <f t="shared" si="0"/>
        <v>871518.47200000007</v>
      </c>
      <c r="E21" s="4986">
        <f>'Phụ lục số 7'!AO7</f>
        <v>220610</v>
      </c>
      <c r="F21" s="4986">
        <f t="shared" si="1"/>
        <v>39300</v>
      </c>
      <c r="G21" s="4986">
        <f>'Phụ lục số 7'!AO10+'Phụ lục số 7'!AO11+'Phụ lục số 7'!AO15+'Phụ lục số 7'!AO27+'Phụ lục số 7'!AO30</f>
        <v>181310</v>
      </c>
      <c r="H21" s="4986">
        <f t="shared" si="2"/>
        <v>628451.47200000007</v>
      </c>
      <c r="I21" s="4986">
        <f>'Phụ lục số 7'!AO37</f>
        <v>379928</v>
      </c>
      <c r="J21" s="4986">
        <f>'Phụ lục số 7'!AO38</f>
        <v>166047</v>
      </c>
      <c r="K21" s="4986">
        <f>'Phụ lục số 7'!AO39</f>
        <v>82476.472000000009</v>
      </c>
      <c r="L21" s="4986">
        <f>'Phụ lục số 7'!AO40</f>
        <v>22457</v>
      </c>
      <c r="M21" s="4995">
        <f t="shared" si="5"/>
        <v>871518.47200000007</v>
      </c>
      <c r="N21" s="4986">
        <f t="shared" si="3"/>
        <v>123000</v>
      </c>
      <c r="O21" s="4986">
        <f>'Phụ lục số 8'!O8</f>
        <v>33000</v>
      </c>
      <c r="P21" s="4986">
        <f>'Phụ lục số 8'!O9</f>
        <v>90000</v>
      </c>
      <c r="Q21" s="4986">
        <f t="shared" si="4"/>
        <v>712225.96687896887</v>
      </c>
      <c r="R21" s="4986">
        <f>'Phụ lục số 8'!O12</f>
        <v>359883.4</v>
      </c>
      <c r="S21" s="4986">
        <f>'Phụ lục số 8'!O13</f>
        <v>352342.56687896885</v>
      </c>
      <c r="T21" s="4986">
        <f>'Phụ lục số 8'!O14</f>
        <v>16303.4</v>
      </c>
      <c r="U21" s="4987">
        <f>'Phụ lục số 8'!O15</f>
        <v>0</v>
      </c>
      <c r="V21" s="4988">
        <f>'Phụ lục số 8'!O16</f>
        <v>19989.1051210312</v>
      </c>
    </row>
    <row r="22" spans="1:22" s="4598" customFormat="1" ht="36" customHeight="1" thickBot="1">
      <c r="A22" s="6699" t="s">
        <v>1538</v>
      </c>
      <c r="B22" s="6700"/>
      <c r="C22" s="4989">
        <f t="shared" ref="C22:L22" si="6">SUM(C10:C21)</f>
        <v>4493400</v>
      </c>
      <c r="D22" s="4989">
        <f t="shared" si="6"/>
        <v>11751651.906999998</v>
      </c>
      <c r="E22" s="4989">
        <f t="shared" si="6"/>
        <v>3732300</v>
      </c>
      <c r="F22" s="4989">
        <f t="shared" si="6"/>
        <v>627900</v>
      </c>
      <c r="G22" s="4989">
        <f t="shared" si="6"/>
        <v>3104400</v>
      </c>
      <c r="H22" s="4989">
        <f t="shared" si="6"/>
        <v>7078351.9070000006</v>
      </c>
      <c r="I22" s="4989">
        <f t="shared" si="6"/>
        <v>4430923</v>
      </c>
      <c r="J22" s="4989">
        <f t="shared" si="6"/>
        <v>1681469</v>
      </c>
      <c r="K22" s="4989">
        <f t="shared" si="6"/>
        <v>965959.90700000012</v>
      </c>
      <c r="L22" s="4989">
        <f t="shared" si="6"/>
        <v>941000</v>
      </c>
      <c r="M22" s="2774">
        <f t="shared" ref="M22:V22" si="7">SUM(M10:M21)</f>
        <v>11751651.906999998</v>
      </c>
      <c r="N22" s="4989">
        <f t="shared" si="7"/>
        <v>1683500</v>
      </c>
      <c r="O22" s="4989">
        <f t="shared" si="7"/>
        <v>590000</v>
      </c>
      <c r="P22" s="4989">
        <f t="shared" si="7"/>
        <v>1093500</v>
      </c>
      <c r="Q22" s="4989">
        <f t="shared" si="7"/>
        <v>9081425.3570000008</v>
      </c>
      <c r="R22" s="4989">
        <f t="shared" si="7"/>
        <v>4752863.0000000009</v>
      </c>
      <c r="S22" s="4989">
        <f t="shared" si="7"/>
        <v>4328562.3569999998</v>
      </c>
      <c r="T22" s="4989">
        <f>SUM(T10:T21)</f>
        <v>212441.54999999996</v>
      </c>
      <c r="U22" s="4989">
        <f t="shared" si="7"/>
        <v>519900</v>
      </c>
      <c r="V22" s="2775">
        <f t="shared" si="7"/>
        <v>254385.00000000003</v>
      </c>
    </row>
    <row r="23" spans="1:22" ht="18.600000000000001" hidden="1" thickTop="1">
      <c r="E23" s="2751">
        <f>E22/C22</f>
        <v>0.8306182400854587</v>
      </c>
      <c r="M23" s="2776"/>
    </row>
    <row r="24" spans="1:22" ht="18.600000000000001" thickTop="1"/>
    <row r="25" spans="1:22">
      <c r="T25" s="4990"/>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082" t="s">
        <v>3172</v>
      </c>
      <c r="B1" s="6082"/>
      <c r="C1" s="6082"/>
      <c r="D1" s="6082"/>
      <c r="E1" s="6082"/>
      <c r="F1" s="6082"/>
      <c r="G1" s="6082"/>
      <c r="H1" s="6082"/>
      <c r="I1" s="6082"/>
      <c r="J1" s="6082"/>
      <c r="K1" s="6082"/>
    </row>
    <row r="2" spans="1:19">
      <c r="A2" s="6260" t="str" cm="1">
        <f t="array" ref="A2">'Phụ lục số 8'!A2:O2</f>
        <v>(Kèm theo Báo cáo số     462/BC-UBND ngày 22 tháng 11 năm 2024 của Ủy ban nhân dân tỉnh Đồng Tháp)</v>
      </c>
      <c r="B2" s="6260"/>
      <c r="C2" s="6260"/>
      <c r="D2" s="6260"/>
      <c r="E2" s="6260"/>
      <c r="F2" s="6260"/>
      <c r="G2" s="6260"/>
      <c r="H2" s="6260"/>
      <c r="I2" s="6260"/>
      <c r="J2" s="6260"/>
      <c r="K2" s="6260"/>
    </row>
    <row r="4" spans="1:19" ht="19.5" customHeight="1" thickBot="1">
      <c r="E4" s="47" t="s">
        <v>117</v>
      </c>
      <c r="H4" s="6574" t="s">
        <v>638</v>
      </c>
      <c r="I4" s="6574"/>
      <c r="J4" s="6574"/>
      <c r="K4" s="6574"/>
    </row>
    <row r="5" spans="1:19" s="49" customFormat="1" thickTop="1">
      <c r="A5" s="6563" t="s">
        <v>136</v>
      </c>
      <c r="B5" s="6571" t="s">
        <v>3137</v>
      </c>
      <c r="C5" s="6087" t="s">
        <v>54</v>
      </c>
      <c r="D5" s="6505" t="s">
        <v>186</v>
      </c>
      <c r="E5" s="6505"/>
      <c r="F5" s="6505"/>
      <c r="G5" s="6505"/>
      <c r="H5" s="6505"/>
      <c r="I5" s="6505"/>
      <c r="J5" s="6505"/>
      <c r="K5" s="6575"/>
    </row>
    <row r="6" spans="1:19" s="49" customFormat="1" ht="327" customHeight="1">
      <c r="A6" s="6564"/>
      <c r="B6" s="6295"/>
      <c r="C6" s="6088"/>
      <c r="D6" s="4852" t="s">
        <v>805</v>
      </c>
      <c r="E6" s="5871" t="s">
        <v>1535</v>
      </c>
      <c r="F6" s="4853" t="s">
        <v>807</v>
      </c>
      <c r="G6" s="4853" t="s">
        <v>3254</v>
      </c>
      <c r="H6" s="2762" t="s">
        <v>3156</v>
      </c>
      <c r="I6" s="2762" t="s">
        <v>3155</v>
      </c>
      <c r="J6" s="5152" t="s">
        <v>3223</v>
      </c>
      <c r="K6" s="5170" t="s">
        <v>3234</v>
      </c>
      <c r="O6" s="4852" t="s">
        <v>3235</v>
      </c>
      <c r="R6" s="2883" t="s">
        <v>3242</v>
      </c>
    </row>
    <row r="7" spans="1:19" s="1638" customFormat="1" ht="23.25" customHeight="1">
      <c r="A7" s="4854">
        <v>1</v>
      </c>
      <c r="B7" s="2738">
        <v>2</v>
      </c>
      <c r="C7" s="2738" t="s">
        <v>3255</v>
      </c>
      <c r="D7" s="2738">
        <v>4</v>
      </c>
      <c r="E7" s="2738">
        <v>5</v>
      </c>
      <c r="F7" s="2738">
        <v>6</v>
      </c>
      <c r="G7" s="2738">
        <v>7</v>
      </c>
      <c r="H7" s="2738">
        <v>8</v>
      </c>
      <c r="I7" s="2738">
        <v>9</v>
      </c>
      <c r="J7" s="2738">
        <v>10</v>
      </c>
      <c r="K7" s="2739">
        <v>11</v>
      </c>
    </row>
    <row r="8" spans="1:19" s="2770" customFormat="1" ht="33.9" customHeight="1">
      <c r="A8" s="4855">
        <v>1</v>
      </c>
      <c r="B8" s="388" t="s">
        <v>811</v>
      </c>
      <c r="C8" s="4856">
        <f>SUM(D8:K8)</f>
        <v>59762.99</v>
      </c>
      <c r="D8" s="4856">
        <f>+'Phụ lục số 8.1'!P14</f>
        <v>14893.36</v>
      </c>
      <c r="E8" s="4856">
        <f>+'Phụ lục số 8.1'!P15</f>
        <v>15250</v>
      </c>
      <c r="F8" s="4856">
        <f>+'Phụ lục số 8.1'!P17</f>
        <v>24715</v>
      </c>
      <c r="G8" s="4856">
        <f>+'Phụ lục số 8.1'!P18</f>
        <v>1229</v>
      </c>
      <c r="H8" s="4856">
        <f>+'Phụ lục số 8.1'!P20</f>
        <v>986.43</v>
      </c>
      <c r="I8" s="4856">
        <f>+'Phụ lục số 8.1'!P22</f>
        <v>0</v>
      </c>
      <c r="J8" s="4857"/>
      <c r="K8" s="5186">
        <f>+'Phụ lục số 8.1'!P16</f>
        <v>2689.2</v>
      </c>
      <c r="O8" s="5194">
        <v>14893.4</v>
      </c>
      <c r="P8" s="2750">
        <f>+O8-D8</f>
        <v>3.9999999999054126E-2</v>
      </c>
      <c r="R8" s="5194">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194">
        <v>7095</v>
      </c>
      <c r="P9" s="2750">
        <f t="shared" ref="P9:P19" si="0">+O9-D9</f>
        <v>0.1499999999996362</v>
      </c>
      <c r="R9" s="5194">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194">
        <v>21220</v>
      </c>
      <c r="P10" s="2750">
        <f t="shared" si="0"/>
        <v>-0.16999999999825377</v>
      </c>
      <c r="R10" s="5194">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194">
        <v>25274</v>
      </c>
      <c r="P11" s="2750">
        <f t="shared" si="0"/>
        <v>-0.36999999999898137</v>
      </c>
      <c r="R11" s="5194">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194">
        <v>18982</v>
      </c>
      <c r="P12" s="2750">
        <f t="shared" si="0"/>
        <v>0.34000000000014552</v>
      </c>
      <c r="R12" s="5194">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194">
        <v>20149</v>
      </c>
      <c r="P13" s="2750">
        <f t="shared" si="0"/>
        <v>-0.2000000000007276</v>
      </c>
      <c r="R13" s="5194">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194">
        <v>31387</v>
      </c>
      <c r="P14" s="2750">
        <f t="shared" si="0"/>
        <v>1.0000000002037268E-2</v>
      </c>
      <c r="R14" s="5194">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194">
        <v>38242</v>
      </c>
      <c r="P15" s="2750">
        <f t="shared" si="0"/>
        <v>0.27999999999883585</v>
      </c>
      <c r="R15" s="5194">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194">
        <v>10564</v>
      </c>
      <c r="P16" s="2750">
        <f t="shared" si="0"/>
        <v>-0.40999999999985448</v>
      </c>
      <c r="R16" s="5194">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194">
        <v>9228</v>
      </c>
      <c r="P17" s="2750">
        <f t="shared" si="0"/>
        <v>-9.0000000000145519E-2</v>
      </c>
      <c r="R17" s="5194">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194">
        <v>1449</v>
      </c>
      <c r="P18" s="2750">
        <f t="shared" si="0"/>
        <v>0.45000000000004547</v>
      </c>
      <c r="R18" s="5194">
        <v>2250</v>
      </c>
      <c r="S18" s="2750">
        <f t="shared" si="1"/>
        <v>-1000</v>
      </c>
    </row>
    <row r="19" spans="1:19" s="2770" customFormat="1" ht="33.9" customHeight="1">
      <c r="A19" s="2418">
        <v>12</v>
      </c>
      <c r="B19" s="2419" t="s">
        <v>262</v>
      </c>
      <c r="C19" s="2748">
        <f t="shared" si="2"/>
        <v>82476.471999999994</v>
      </c>
      <c r="D19" s="4858">
        <f>+'Phụ lục số 8.1'!CZ14</f>
        <v>12728.220000000001</v>
      </c>
      <c r="E19" s="4858">
        <f>+'Phụ lục số 8.1'!CZ15</f>
        <v>16750</v>
      </c>
      <c r="F19" s="4858">
        <f>+'Phụ lục số 8.1'!CZ17</f>
        <v>25747</v>
      </c>
      <c r="G19" s="4858">
        <f>+'Phụ lục số 8.1'!CZ18</f>
        <v>859</v>
      </c>
      <c r="H19" s="4858">
        <f>+'Phụ lục số 8.1'!CZ20</f>
        <v>948.78</v>
      </c>
      <c r="I19" s="4858">
        <f>+'Phụ lục số 8.1'!CZ22</f>
        <v>22450</v>
      </c>
      <c r="J19" s="4859"/>
      <c r="K19" s="5400">
        <f>+'Phụ lục số 8.1'!CZ16</f>
        <v>2993.4720000000002</v>
      </c>
      <c r="O19" s="5194">
        <v>12728.4</v>
      </c>
      <c r="P19" s="2750">
        <f t="shared" si="0"/>
        <v>0.17999999999847205</v>
      </c>
      <c r="R19" s="5194">
        <v>15750</v>
      </c>
      <c r="S19" s="2750">
        <f t="shared" si="1"/>
        <v>-1000</v>
      </c>
    </row>
    <row r="20" spans="1:19" s="2770" customFormat="1" ht="33.9" customHeight="1" thickBot="1">
      <c r="A20" s="6707" t="s">
        <v>1538</v>
      </c>
      <c r="B20" s="6708"/>
      <c r="C20" s="5397">
        <f>SUM(C8:C19)</f>
        <v>965959.90700000001</v>
      </c>
      <c r="D20" s="5397">
        <f t="shared" ref="D20:I20" si="3">SUM(D8:D19)</f>
        <v>211211.59</v>
      </c>
      <c r="E20" s="5397">
        <f t="shared" si="3"/>
        <v>265647</v>
      </c>
      <c r="F20" s="5398">
        <f>SUM(F8:F19)</f>
        <v>293472.76800000004</v>
      </c>
      <c r="G20" s="5398">
        <f>SUM(G8:G19)</f>
        <v>11626</v>
      </c>
      <c r="H20" s="5398">
        <f t="shared" si="3"/>
        <v>11295</v>
      </c>
      <c r="I20" s="5397">
        <f t="shared" si="3"/>
        <v>129670</v>
      </c>
      <c r="J20" s="5428">
        <f>SUM(J8:J19)</f>
        <v>852</v>
      </c>
      <c r="K20" s="5399">
        <f>SUM(K8:K19)</f>
        <v>42185.549000000006</v>
      </c>
      <c r="O20" s="5195">
        <f>SUM(O8:O19)</f>
        <v>211211.8</v>
      </c>
      <c r="P20" s="5195">
        <f>SUM(P8:P19)</f>
        <v>0.21000000000026375</v>
      </c>
      <c r="R20" s="5195">
        <f>SUM(R8:R19)</f>
        <v>253647</v>
      </c>
      <c r="S20" s="5195">
        <f>SUM(S8:S19)</f>
        <v>-12000</v>
      </c>
    </row>
    <row r="21" spans="1:19" ht="18.600000000000001" thickTop="1">
      <c r="O21" s="5197">
        <v>3950</v>
      </c>
      <c r="P21" s="5196">
        <f>+O21</f>
        <v>3950</v>
      </c>
      <c r="R21" s="679">
        <f>+R20-E20</f>
        <v>-12000</v>
      </c>
      <c r="S21" s="679">
        <f>+'Phụ lục số 6'!E33</f>
        <v>96890</v>
      </c>
    </row>
    <row r="22" spans="1:19">
      <c r="O22" s="5196">
        <f>+O21+O20</f>
        <v>215161.8</v>
      </c>
      <c r="P22" s="5196">
        <f>+P21+P20</f>
        <v>3950.21</v>
      </c>
      <c r="S22" s="5196">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196">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30"/>
      <c r="G29" s="5430"/>
      <c r="H29" s="679">
        <f>+H28-H27</f>
        <v>13352.851000000366</v>
      </c>
      <c r="J29" s="5429">
        <f>-+'Phụ lục số 4'!L24</f>
        <v>67685.400000000373</v>
      </c>
    </row>
    <row r="30" spans="1:19">
      <c r="J30" s="5429">
        <f>+K20+H20</f>
        <v>53480.549000000006</v>
      </c>
    </row>
    <row r="31" spans="1:19">
      <c r="J31" s="5429">
        <f>+J29-J30</f>
        <v>14204.851000000366</v>
      </c>
    </row>
    <row r="32" spans="1:19">
      <c r="J32" s="5430">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10" t="s">
        <v>1539</v>
      </c>
      <c r="B1" s="6710"/>
      <c r="C1" s="6710"/>
      <c r="D1" s="6710"/>
      <c r="E1" s="6710"/>
      <c r="F1" s="6710"/>
      <c r="G1" s="6710"/>
      <c r="H1" s="6710"/>
      <c r="I1" s="6710"/>
    </row>
    <row r="2" spans="1:10">
      <c r="B2" s="6140"/>
      <c r="C2" s="6140"/>
      <c r="D2" s="6140"/>
      <c r="E2" s="6140"/>
      <c r="F2" s="6140"/>
      <c r="G2" s="6140"/>
      <c r="H2" s="6140"/>
      <c r="I2" s="6140"/>
    </row>
    <row r="3" spans="1:10">
      <c r="H3" s="2421" t="s">
        <v>246</v>
      </c>
      <c r="I3" s="2422"/>
    </row>
    <row r="4" spans="1:10" s="2423" customFormat="1">
      <c r="A4" s="6711" t="s">
        <v>247</v>
      </c>
      <c r="B4" s="6560" t="s">
        <v>1526</v>
      </c>
      <c r="C4" s="6134" t="s">
        <v>1527</v>
      </c>
      <c r="D4" s="6134"/>
      <c r="E4" s="6134"/>
      <c r="F4" s="6134"/>
      <c r="G4" s="6134"/>
      <c r="H4" s="6560" t="s">
        <v>1540</v>
      </c>
      <c r="I4" s="6560" t="s">
        <v>1541</v>
      </c>
    </row>
    <row r="5" spans="1:10" s="2423" customFormat="1">
      <c r="A5" s="6712"/>
      <c r="B5" s="6695"/>
      <c r="C5" s="6695" t="s">
        <v>1528</v>
      </c>
      <c r="D5" s="6695" t="s">
        <v>1529</v>
      </c>
      <c r="E5" s="6695" t="s">
        <v>1530</v>
      </c>
      <c r="F5" s="6696" t="s">
        <v>645</v>
      </c>
      <c r="G5" s="6698"/>
      <c r="H5" s="6695"/>
      <c r="I5" s="6695"/>
    </row>
    <row r="6" spans="1:10" s="2423" customFormat="1" ht="46.8">
      <c r="A6" s="6713"/>
      <c r="B6" s="6403"/>
      <c r="C6" s="6403"/>
      <c r="D6" s="6403"/>
      <c r="E6" s="6403"/>
      <c r="F6" s="1383" t="s">
        <v>205</v>
      </c>
      <c r="G6" s="1383" t="s">
        <v>1532</v>
      </c>
      <c r="H6" s="6403"/>
      <c r="I6" s="6403"/>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09" t="s">
        <v>1538</v>
      </c>
      <c r="B20" s="6709"/>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058" t="str">
        <f>+'Phụ lục số I'!A1:V1</f>
        <v>ƯỚC THỰC HIỆN THU NGÂN SÁCH NHÀ NƯỚC TRÊN ĐỊA BÀN NĂM 2024</v>
      </c>
      <c r="B1" s="6058"/>
      <c r="C1" s="6058"/>
      <c r="D1" s="6058"/>
      <c r="E1" s="6058"/>
      <c r="F1" s="6058"/>
      <c r="G1" s="6058"/>
      <c r="H1" s="6058"/>
      <c r="I1" s="6058"/>
      <c r="J1" s="6058"/>
      <c r="K1" s="6058"/>
      <c r="L1" s="6058"/>
      <c r="M1" s="6058"/>
      <c r="N1" s="6058"/>
      <c r="O1" s="6058"/>
      <c r="P1" s="6058"/>
      <c r="Q1" s="6058"/>
      <c r="R1" s="6058"/>
      <c r="S1" s="6058"/>
      <c r="T1" s="6058"/>
      <c r="U1" s="6058"/>
      <c r="V1" s="6058"/>
    </row>
    <row r="2" spans="1:22">
      <c r="A2" s="6058" t="str">
        <f>+'Phụ lục số I'!A2:V2</f>
        <v>DỰ TOÁN THU NGÂN SÁCH NHÀ NƯỚC TRÊN ĐỊA BÀN NĂM 2025</v>
      </c>
      <c r="B2" s="6058"/>
      <c r="C2" s="6058"/>
      <c r="D2" s="6058"/>
      <c r="E2" s="6058"/>
      <c r="F2" s="6058"/>
      <c r="G2" s="6058"/>
      <c r="H2" s="6058"/>
      <c r="I2" s="6058"/>
      <c r="J2" s="6058"/>
      <c r="K2" s="6058"/>
      <c r="L2" s="6058"/>
      <c r="M2" s="6058"/>
      <c r="N2" s="6058"/>
      <c r="O2" s="6058"/>
      <c r="P2" s="6058"/>
      <c r="Q2" s="6058"/>
      <c r="R2" s="6058"/>
      <c r="S2" s="6058"/>
      <c r="T2" s="6058"/>
      <c r="U2" s="6058"/>
      <c r="V2" s="6058"/>
    </row>
    <row r="3" spans="1:22">
      <c r="A3" s="6061" t="s">
        <v>1414</v>
      </c>
      <c r="B3" s="6061"/>
      <c r="C3" s="6061"/>
      <c r="D3" s="6061"/>
      <c r="E3" s="6061"/>
      <c r="F3" s="6061"/>
      <c r="G3" s="6061"/>
      <c r="H3" s="6061"/>
      <c r="I3" s="6061"/>
      <c r="J3" s="6061"/>
      <c r="K3" s="6061"/>
      <c r="L3" s="6061"/>
      <c r="M3" s="6061"/>
      <c r="N3" s="6061"/>
      <c r="O3" s="6061"/>
      <c r="P3" s="6061"/>
      <c r="Q3" s="6061"/>
      <c r="R3" s="6061"/>
      <c r="S3" s="6061"/>
      <c r="T3" s="6061"/>
      <c r="U3" s="6061"/>
      <c r="V3" s="6061"/>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060" t="str">
        <f>'Phụ lục số I'!T5:V5</f>
        <v>ĐVT: Triệu đồng</v>
      </c>
      <c r="U5" s="6714"/>
      <c r="V5" s="6714"/>
    </row>
    <row r="6" spans="1:22">
      <c r="A6" s="6715" t="s">
        <v>0</v>
      </c>
      <c r="B6" s="6372" t="s">
        <v>49</v>
      </c>
      <c r="C6" s="6064" t="s">
        <v>50</v>
      </c>
      <c r="D6" s="6064"/>
      <c r="E6" s="6064"/>
      <c r="F6" s="6064"/>
      <c r="G6" s="6064"/>
      <c r="H6" s="6064"/>
      <c r="I6" s="6064"/>
      <c r="J6" s="6067" t="s">
        <v>120</v>
      </c>
      <c r="K6" s="6067"/>
      <c r="L6" s="6067"/>
      <c r="M6" s="6067"/>
      <c r="N6" s="6067"/>
      <c r="O6" s="6067"/>
      <c r="P6" s="6067"/>
      <c r="Q6" s="6067" t="s">
        <v>121</v>
      </c>
      <c r="R6" s="6067"/>
      <c r="S6" s="6067"/>
      <c r="T6" s="6067"/>
      <c r="U6" s="6067"/>
      <c r="V6" s="6067"/>
    </row>
    <row r="7" spans="1:22">
      <c r="A7" s="6715"/>
      <c r="B7" s="6372"/>
      <c r="C7" s="6063" t="s">
        <v>51</v>
      </c>
      <c r="D7" s="6063"/>
      <c r="E7" s="6063" t="s">
        <v>52</v>
      </c>
      <c r="F7" s="6063" t="s">
        <v>53</v>
      </c>
      <c r="G7" s="6063" t="s">
        <v>124</v>
      </c>
      <c r="H7" s="6063"/>
      <c r="I7" s="6063"/>
      <c r="J7" s="6066" t="s">
        <v>51</v>
      </c>
      <c r="K7" s="6068" t="s">
        <v>122</v>
      </c>
      <c r="L7" s="6068"/>
      <c r="M7" s="6063" t="s">
        <v>53</v>
      </c>
      <c r="N7" s="6063" t="s">
        <v>124</v>
      </c>
      <c r="O7" s="6063"/>
      <c r="P7" s="6063"/>
      <c r="Q7" s="6066" t="s">
        <v>51</v>
      </c>
      <c r="R7" s="6066" t="s">
        <v>123</v>
      </c>
      <c r="S7" s="6063" t="s">
        <v>53</v>
      </c>
      <c r="T7" s="6063" t="s">
        <v>124</v>
      </c>
      <c r="U7" s="6063"/>
      <c r="V7" s="6063"/>
    </row>
    <row r="8" spans="1:22" ht="46.8">
      <c r="A8" s="6715"/>
      <c r="B8" s="6372"/>
      <c r="C8" s="755" t="s">
        <v>119</v>
      </c>
      <c r="D8" s="755" t="s">
        <v>118</v>
      </c>
      <c r="E8" s="6065"/>
      <c r="F8" s="6065"/>
      <c r="G8" s="1538" t="s">
        <v>54</v>
      </c>
      <c r="H8" s="1538" t="s">
        <v>55</v>
      </c>
      <c r="I8" s="130" t="s">
        <v>56</v>
      </c>
      <c r="J8" s="6066"/>
      <c r="K8" s="755" t="s">
        <v>119</v>
      </c>
      <c r="L8" s="755" t="s">
        <v>118</v>
      </c>
      <c r="M8" s="6066"/>
      <c r="N8" s="1538" t="s">
        <v>54</v>
      </c>
      <c r="O8" s="1538" t="s">
        <v>55</v>
      </c>
      <c r="P8" s="130" t="s">
        <v>56</v>
      </c>
      <c r="Q8" s="6066"/>
      <c r="R8" s="6066"/>
      <c r="S8" s="6066"/>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058" t="str">
        <f>'Phụ lục số II'!A1:Q1</f>
        <v>ƯỚC THỰC HIỆN CHI NGÂN SÁCH ĐỊA PHƯƠNG NĂM 2024</v>
      </c>
      <c r="B1" s="6058"/>
      <c r="C1" s="6058"/>
      <c r="D1" s="6058"/>
      <c r="E1" s="6058"/>
      <c r="F1" s="6058"/>
      <c r="G1" s="6058"/>
      <c r="H1" s="6058"/>
      <c r="I1" s="6058"/>
      <c r="J1" s="6058"/>
      <c r="K1" s="6058"/>
      <c r="L1" s="6058"/>
      <c r="M1" s="6058"/>
      <c r="N1" s="6058"/>
      <c r="O1" s="6058"/>
      <c r="P1" s="6058"/>
      <c r="Q1" s="6058"/>
    </row>
    <row r="2" spans="1:17" s="4" customFormat="1">
      <c r="A2" s="6058" t="str">
        <f>'Phụ lục số II'!A2:Q2</f>
        <v>DỰ TOÁN CHI NGÂN SÁCH ĐỊA PHƯƠNG NĂM 2025</v>
      </c>
      <c r="B2" s="6058"/>
      <c r="C2" s="6058"/>
      <c r="D2" s="6058"/>
      <c r="E2" s="6058"/>
      <c r="F2" s="6058"/>
      <c r="G2" s="6058"/>
      <c r="H2" s="6058"/>
      <c r="I2" s="6058"/>
      <c r="J2" s="6058"/>
      <c r="K2" s="6058"/>
      <c r="L2" s="6058"/>
      <c r="M2" s="6058"/>
      <c r="N2" s="6058"/>
      <c r="O2" s="6058"/>
      <c r="P2" s="6058"/>
      <c r="Q2" s="6058"/>
    </row>
    <row r="3" spans="1:17" s="4" customFormat="1">
      <c r="A3" s="6061" t="str">
        <f>'PHỤ LỤC 1 TRÌNH '!A3:V3</f>
        <v>(Kèm theo Công văn số         /STC-QLNS ngày       tháng 8 năm 2024 của Sở Tài chính)</v>
      </c>
      <c r="B3" s="6061"/>
      <c r="C3" s="6061"/>
      <c r="D3" s="6061"/>
      <c r="E3" s="6061"/>
      <c r="F3" s="6061"/>
      <c r="G3" s="6061"/>
      <c r="H3" s="6061"/>
      <c r="I3" s="6061"/>
      <c r="J3" s="6061"/>
      <c r="K3" s="6061"/>
      <c r="L3" s="6061"/>
      <c r="M3" s="6061"/>
      <c r="N3" s="6061"/>
      <c r="O3" s="6061"/>
      <c r="P3" s="6061"/>
      <c r="Q3" s="6061"/>
    </row>
    <row r="5" spans="1:17">
      <c r="O5" s="6714" t="s">
        <v>246</v>
      </c>
      <c r="P5" s="6714"/>
      <c r="Q5" s="6714"/>
    </row>
    <row r="6" spans="1:17">
      <c r="A6" s="6075" t="s">
        <v>136</v>
      </c>
      <c r="B6" s="6066" t="s">
        <v>137</v>
      </c>
      <c r="C6" s="6066" t="s">
        <v>140</v>
      </c>
      <c r="D6" s="6066"/>
      <c r="E6" s="6066"/>
      <c r="F6" s="6066"/>
      <c r="G6" s="6066"/>
      <c r="H6" s="6066" t="s">
        <v>120</v>
      </c>
      <c r="I6" s="6066"/>
      <c r="J6" s="6066"/>
      <c r="K6" s="6066"/>
      <c r="L6" s="6066"/>
      <c r="M6" s="6066" t="s">
        <v>121</v>
      </c>
      <c r="N6" s="6066"/>
      <c r="O6" s="6066"/>
      <c r="P6" s="6066"/>
      <c r="Q6" s="6066"/>
    </row>
    <row r="7" spans="1:17">
      <c r="A7" s="6075"/>
      <c r="B7" s="6066"/>
      <c r="C7" s="6066" t="s">
        <v>119</v>
      </c>
      <c r="D7" s="6066" t="s">
        <v>118</v>
      </c>
      <c r="E7" s="6066" t="s">
        <v>69</v>
      </c>
      <c r="F7" s="6066" t="s">
        <v>186</v>
      </c>
      <c r="G7" s="6066"/>
      <c r="H7" s="6066" t="s">
        <v>59</v>
      </c>
      <c r="I7" s="6066" t="s">
        <v>69</v>
      </c>
      <c r="J7" s="6066" t="s">
        <v>1418</v>
      </c>
      <c r="K7" s="6066" t="s">
        <v>186</v>
      </c>
      <c r="L7" s="6066"/>
      <c r="M7" s="6066" t="s">
        <v>59</v>
      </c>
      <c r="N7" s="6066" t="s">
        <v>69</v>
      </c>
      <c r="O7" s="6066" t="s">
        <v>194</v>
      </c>
      <c r="P7" s="6066" t="s">
        <v>186</v>
      </c>
      <c r="Q7" s="6066"/>
    </row>
    <row r="8" spans="1:17" ht="132" customHeight="1">
      <c r="A8" s="6075"/>
      <c r="B8" s="6066"/>
      <c r="C8" s="6066"/>
      <c r="D8" s="6066"/>
      <c r="E8" s="6066"/>
      <c r="F8" s="755" t="s">
        <v>138</v>
      </c>
      <c r="G8" s="755" t="s">
        <v>139</v>
      </c>
      <c r="H8" s="6066"/>
      <c r="I8" s="6066"/>
      <c r="J8" s="6066"/>
      <c r="K8" s="755" t="s">
        <v>138</v>
      </c>
      <c r="L8" s="755" t="s">
        <v>139</v>
      </c>
      <c r="M8" s="6066"/>
      <c r="N8" s="6066"/>
      <c r="O8" s="6066"/>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058" t="s">
        <v>230</v>
      </c>
      <c r="B1" s="6058"/>
      <c r="C1" s="6058"/>
      <c r="D1" s="6058"/>
      <c r="E1" s="6058"/>
      <c r="F1" s="6058"/>
      <c r="G1" s="6058"/>
      <c r="H1" s="6058"/>
      <c r="I1" s="6058"/>
      <c r="J1" s="6058"/>
      <c r="K1" s="6058"/>
    </row>
    <row r="2" spans="1:11" ht="16.2">
      <c r="A2" s="6591" t="s">
        <v>232</v>
      </c>
      <c r="B2" s="6591"/>
      <c r="C2" s="6591"/>
      <c r="D2" s="6591"/>
      <c r="E2" s="6591"/>
      <c r="F2" s="6591"/>
      <c r="G2" s="6591"/>
      <c r="H2" s="6591"/>
      <c r="I2" s="6591"/>
      <c r="J2" s="6591"/>
      <c r="K2" s="6591"/>
    </row>
    <row r="3" spans="1:11">
      <c r="A3" s="6061" t="str">
        <f>+'PHỤ LỤC 2 TRÌNH'!A3:Q3</f>
        <v>(Kèm theo Công văn số         /STC-QLNS ngày       tháng 8 năm 2024 của Sở Tài chính)</v>
      </c>
      <c r="B3" s="6061"/>
      <c r="C3" s="6061"/>
      <c r="D3" s="6061"/>
      <c r="E3" s="6061"/>
      <c r="F3" s="6061"/>
      <c r="G3" s="6061"/>
      <c r="H3" s="6061"/>
      <c r="I3" s="6061"/>
      <c r="J3" s="6061"/>
      <c r="K3" s="6061"/>
    </row>
    <row r="5" spans="1:11" ht="16.2" thickBot="1"/>
    <row r="6" spans="1:11" ht="16.2" thickTop="1">
      <c r="A6" s="6716" t="s">
        <v>200</v>
      </c>
      <c r="B6" s="6718" t="s">
        <v>201</v>
      </c>
      <c r="C6" s="6558" t="s">
        <v>219</v>
      </c>
      <c r="D6" s="6558"/>
      <c r="E6" s="6558"/>
      <c r="F6" s="6558" t="s">
        <v>223</v>
      </c>
      <c r="G6" s="6558"/>
      <c r="H6" s="6558"/>
      <c r="I6" s="6529" t="s">
        <v>224</v>
      </c>
      <c r="J6" s="6529"/>
      <c r="K6" s="6529"/>
    </row>
    <row r="7" spans="1:11">
      <c r="A7" s="6717"/>
      <c r="B7" s="6356"/>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069" t="s">
        <v>230</v>
      </c>
      <c r="B1" s="6069"/>
      <c r="C1" s="6069"/>
      <c r="D1" s="6069"/>
      <c r="E1" s="6069"/>
      <c r="F1" s="6069"/>
      <c r="G1" s="6069"/>
      <c r="H1" s="6069"/>
      <c r="I1" s="6069"/>
      <c r="J1" s="6069"/>
      <c r="K1" s="6069"/>
    </row>
    <row r="2" spans="1:11" ht="14.4">
      <c r="A2" s="6095" t="s">
        <v>231</v>
      </c>
      <c r="B2" s="6095"/>
      <c r="C2" s="6095"/>
      <c r="D2" s="6095"/>
      <c r="E2" s="6095"/>
      <c r="F2" s="6095"/>
      <c r="G2" s="6095"/>
      <c r="H2" s="6095"/>
      <c r="I2" s="6095"/>
      <c r="J2" s="6095"/>
      <c r="K2" s="6095"/>
    </row>
    <row r="3" spans="1:11">
      <c r="A3" s="6204" t="str">
        <f>+'PHỤ LỤC 3 - CĐC TRINH'!A3:K3</f>
        <v>(Kèm theo Công văn số         /STC-QLNS ngày       tháng 8 năm 2024 của Sở Tài chính)</v>
      </c>
      <c r="B3" s="6204"/>
      <c r="C3" s="6204"/>
      <c r="D3" s="6204"/>
      <c r="E3" s="6204"/>
      <c r="F3" s="6204"/>
      <c r="G3" s="6204"/>
      <c r="H3" s="6204"/>
      <c r="I3" s="6204"/>
      <c r="J3" s="6204"/>
      <c r="K3" s="6204"/>
    </row>
    <row r="6" spans="1:11">
      <c r="A6" s="6719" t="s">
        <v>200</v>
      </c>
      <c r="B6" s="6556" t="s">
        <v>201</v>
      </c>
      <c r="C6" s="6720" t="s">
        <v>219</v>
      </c>
      <c r="D6" s="6720"/>
      <c r="E6" s="6720"/>
      <c r="F6" s="6720" t="s">
        <v>223</v>
      </c>
      <c r="G6" s="6720"/>
      <c r="H6" s="6720"/>
      <c r="I6" s="6721" t="s">
        <v>224</v>
      </c>
      <c r="J6" s="6721"/>
      <c r="K6" s="6721"/>
    </row>
    <row r="7" spans="1:11">
      <c r="A7" s="6719"/>
      <c r="B7" s="6556"/>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368" t="s">
        <v>136</v>
      </c>
      <c r="B4" s="6722" t="s">
        <v>1861</v>
      </c>
      <c r="C4" s="6722" t="s">
        <v>50</v>
      </c>
      <c r="D4" s="6723" t="s">
        <v>2836</v>
      </c>
      <c r="E4" s="6724"/>
      <c r="F4" s="6724"/>
      <c r="G4" s="6725"/>
      <c r="H4" s="6726" t="s">
        <v>2837</v>
      </c>
      <c r="I4" s="6727"/>
      <c r="J4" s="6727"/>
      <c r="K4" s="6727"/>
      <c r="L4" s="6727"/>
      <c r="M4" s="6728"/>
      <c r="N4" s="6726" t="s">
        <v>2838</v>
      </c>
      <c r="O4" s="6727"/>
      <c r="P4" s="6727"/>
      <c r="Q4" s="6727"/>
      <c r="R4" s="6727"/>
      <c r="S4" s="6728"/>
      <c r="T4" s="6726" t="s">
        <v>2839</v>
      </c>
      <c r="U4" s="6727"/>
      <c r="V4" s="6727"/>
      <c r="W4" s="6727"/>
      <c r="X4" s="6727"/>
      <c r="Y4" s="6728"/>
      <c r="Z4" s="6631" t="s">
        <v>2840</v>
      </c>
      <c r="AA4" s="6631"/>
      <c r="AB4" s="6631"/>
      <c r="AC4" s="6631"/>
      <c r="AD4" s="6729"/>
    </row>
    <row r="5" spans="1:30" ht="17.399999999999999" customHeight="1">
      <c r="A5" s="6369"/>
      <c r="B5" s="6317"/>
      <c r="C5" s="6317"/>
      <c r="D5" s="6317" t="s">
        <v>53</v>
      </c>
      <c r="E5" s="4447" t="s">
        <v>1867</v>
      </c>
      <c r="F5" s="4447"/>
      <c r="G5" s="4447"/>
      <c r="H5" s="6317" t="s">
        <v>51</v>
      </c>
      <c r="I5" s="6317" t="s">
        <v>1872</v>
      </c>
      <c r="J5" s="6317" t="s">
        <v>53</v>
      </c>
      <c r="K5" s="4447" t="s">
        <v>1867</v>
      </c>
      <c r="L5" s="4447"/>
      <c r="M5" s="4447"/>
      <c r="N5" s="6317" t="s">
        <v>51</v>
      </c>
      <c r="O5" s="6317" t="str">
        <f>I5</f>
        <v>% so với dự toán 2024</v>
      </c>
      <c r="P5" s="6317" t="s">
        <v>53</v>
      </c>
      <c r="Q5" s="4447" t="s">
        <v>1867</v>
      </c>
      <c r="R5" s="4447"/>
      <c r="S5" s="4447"/>
      <c r="T5" s="6317" t="s">
        <v>51</v>
      </c>
      <c r="U5" s="6317" t="str">
        <f>O5</f>
        <v>% so với dự toán 2024</v>
      </c>
      <c r="V5" s="6317" t="s">
        <v>53</v>
      </c>
      <c r="W5" s="4447" t="s">
        <v>1867</v>
      </c>
      <c r="X5" s="4447"/>
      <c r="Y5" s="4447"/>
      <c r="Z5" s="6317" t="s">
        <v>51</v>
      </c>
      <c r="AA5" s="6317" t="s">
        <v>53</v>
      </c>
      <c r="AB5" s="4447" t="s">
        <v>1867</v>
      </c>
      <c r="AC5" s="4447"/>
      <c r="AD5" s="4448"/>
    </row>
    <row r="6" spans="1:30" ht="52.2">
      <c r="A6" s="6369"/>
      <c r="B6" s="6317"/>
      <c r="C6" s="6317"/>
      <c r="D6" s="6310"/>
      <c r="E6" s="584" t="s">
        <v>54</v>
      </c>
      <c r="F6" s="584" t="s">
        <v>55</v>
      </c>
      <c r="G6" s="584" t="s">
        <v>56</v>
      </c>
      <c r="H6" s="6310"/>
      <c r="I6" s="6310"/>
      <c r="J6" s="6310"/>
      <c r="K6" s="584" t="s">
        <v>54</v>
      </c>
      <c r="L6" s="584" t="s">
        <v>55</v>
      </c>
      <c r="M6" s="584" t="s">
        <v>56</v>
      </c>
      <c r="N6" s="6310"/>
      <c r="O6" s="6310"/>
      <c r="P6" s="6310"/>
      <c r="Q6" s="584" t="s">
        <v>54</v>
      </c>
      <c r="R6" s="584" t="s">
        <v>55</v>
      </c>
      <c r="S6" s="584" t="s">
        <v>56</v>
      </c>
      <c r="T6" s="6310"/>
      <c r="U6" s="6310"/>
      <c r="V6" s="6310"/>
      <c r="W6" s="584" t="s">
        <v>54</v>
      </c>
      <c r="X6" s="584" t="s">
        <v>55</v>
      </c>
      <c r="Y6" s="584" t="s">
        <v>56</v>
      </c>
      <c r="Z6" s="6310"/>
      <c r="AA6" s="6310"/>
      <c r="AB6" s="584" t="s">
        <v>54</v>
      </c>
      <c r="AC6" s="584" t="s">
        <v>55</v>
      </c>
      <c r="AD6" s="4449" t="s">
        <v>56</v>
      </c>
    </row>
    <row r="7" spans="1:30" ht="18">
      <c r="A7" s="4450">
        <v>1</v>
      </c>
      <c r="B7" s="4451">
        <v>2</v>
      </c>
      <c r="C7" s="4452"/>
      <c r="D7" s="4452"/>
      <c r="E7" s="4452"/>
      <c r="F7" s="4452"/>
      <c r="G7" s="4452"/>
      <c r="H7" s="4451" t="s">
        <v>1874</v>
      </c>
      <c r="I7" s="4451" t="s">
        <v>1875</v>
      </c>
      <c r="J7" s="4451">
        <v>6</v>
      </c>
      <c r="K7" s="4451" t="s">
        <v>1876</v>
      </c>
      <c r="L7" s="4451">
        <v>8</v>
      </c>
      <c r="M7" s="4451">
        <v>9</v>
      </c>
      <c r="N7" s="4451" t="s">
        <v>1877</v>
      </c>
      <c r="O7" s="4451" t="s">
        <v>2841</v>
      </c>
      <c r="P7" s="4451">
        <v>12</v>
      </c>
      <c r="Q7" s="4451" t="s">
        <v>1879</v>
      </c>
      <c r="R7" s="4451">
        <v>14</v>
      </c>
      <c r="S7" s="4451">
        <v>15</v>
      </c>
      <c r="T7" s="4451"/>
      <c r="U7" s="4451"/>
      <c r="V7" s="4451"/>
      <c r="W7" s="4451"/>
      <c r="X7" s="4451"/>
      <c r="Y7" s="4451"/>
      <c r="Z7" s="4451"/>
      <c r="AA7" s="4451"/>
      <c r="AB7" s="4451"/>
      <c r="AC7" s="4451"/>
      <c r="AD7" s="4453"/>
    </row>
    <row r="8" spans="1:30" ht="17.399999999999999">
      <c r="A8" s="4454" t="s">
        <v>1</v>
      </c>
      <c r="B8" s="4455" t="s">
        <v>2</v>
      </c>
      <c r="C8" s="718">
        <f>SUM(C9,C49)</f>
        <v>9266000</v>
      </c>
      <c r="D8" s="718">
        <f t="shared" ref="D8:G8" si="0">SUM(D9,D49)</f>
        <v>781100</v>
      </c>
      <c r="E8" s="718">
        <f t="shared" si="0"/>
        <v>8484930</v>
      </c>
      <c r="F8" s="718">
        <f t="shared" si="0"/>
        <v>4545850</v>
      </c>
      <c r="G8" s="718">
        <f t="shared" si="0"/>
        <v>3939080</v>
      </c>
      <c r="H8" s="718">
        <f>SUM(H9,H49)</f>
        <v>4286741.4000000004</v>
      </c>
      <c r="I8" s="4456">
        <f>H8/C8*100</f>
        <v>46.263127563134042</v>
      </c>
      <c r="J8" s="718">
        <f>SUM(J9,J49)</f>
        <v>589000</v>
      </c>
      <c r="K8" s="718">
        <f>SUM(K9,K49)</f>
        <v>3697741.4</v>
      </c>
      <c r="L8" s="718">
        <f>SUM(L9,L49)</f>
        <v>1967711.4</v>
      </c>
      <c r="M8" s="718">
        <f>SUM(M9,M49)</f>
        <v>1730030</v>
      </c>
      <c r="N8" s="718">
        <f>SUM(N9,N49)</f>
        <v>2684982.4</v>
      </c>
      <c r="O8" s="4456">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57">
        <f t="shared" si="2"/>
        <v>-1768653</v>
      </c>
    </row>
    <row r="9" spans="1:30" ht="17.399999999999999">
      <c r="A9" s="4458"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59">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59">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60">
        <f t="shared" si="7"/>
        <v>-1768653</v>
      </c>
    </row>
    <row r="10" spans="1:30" ht="18">
      <c r="A10" s="4461"/>
      <c r="B10" s="4462" t="s">
        <v>5</v>
      </c>
      <c r="C10" s="2261">
        <f t="shared" ref="C10:H10" si="8">C9-C40-C48</f>
        <v>5346000</v>
      </c>
      <c r="D10" s="2261">
        <f t="shared" si="8"/>
        <v>581100</v>
      </c>
      <c r="E10" s="2261">
        <f t="shared" si="8"/>
        <v>4764930</v>
      </c>
      <c r="F10" s="2261">
        <f t="shared" si="8"/>
        <v>1968850</v>
      </c>
      <c r="G10" s="2261">
        <f t="shared" si="8"/>
        <v>2796080</v>
      </c>
      <c r="H10" s="2261">
        <f t="shared" si="8"/>
        <v>2667515.4</v>
      </c>
      <c r="I10" s="4463">
        <f>H10/C10*100</f>
        <v>49.897407407407407</v>
      </c>
      <c r="J10" s="2261">
        <f>J9-J40-J48</f>
        <v>330000</v>
      </c>
      <c r="K10" s="2261">
        <f>K9-K40-K48</f>
        <v>2337515.4</v>
      </c>
      <c r="L10" s="2261">
        <f>L9-L40-L48</f>
        <v>1156196.3999999999</v>
      </c>
      <c r="M10" s="2261">
        <f>M9-M40-M48</f>
        <v>1181319</v>
      </c>
      <c r="N10" s="2261">
        <f>N9-N40-N48</f>
        <v>1489708.4</v>
      </c>
      <c r="O10" s="4463">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64">
        <f t="shared" si="12"/>
        <v>-949653</v>
      </c>
    </row>
    <row r="11" spans="1:30" s="2423" customFormat="1" ht="17.399999999999999">
      <c r="A11" s="4465">
        <v>1</v>
      </c>
      <c r="B11" s="4466" t="s">
        <v>6</v>
      </c>
      <c r="C11" s="4467">
        <f>SUM(C12:C16)</f>
        <v>230000</v>
      </c>
      <c r="D11" s="4467">
        <f t="shared" ref="D11:G11" si="13">SUM(D12:D16)</f>
        <v>0</v>
      </c>
      <c r="E11" s="4467">
        <f t="shared" si="13"/>
        <v>230000</v>
      </c>
      <c r="F11" s="4467">
        <f t="shared" si="13"/>
        <v>230000</v>
      </c>
      <c r="G11" s="4467">
        <f t="shared" si="13"/>
        <v>0</v>
      </c>
      <c r="H11" s="4468">
        <f>SUM(H12:H16)</f>
        <v>133583</v>
      </c>
      <c r="I11" s="4468">
        <f>H11/C11*100</f>
        <v>58.079565217391306</v>
      </c>
      <c r="J11" s="4468">
        <f>SUM(J12:J16)</f>
        <v>0</v>
      </c>
      <c r="K11" s="4468">
        <f>SUM(K12:K16)</f>
        <v>133583</v>
      </c>
      <c r="L11" s="4468">
        <f>SUM(L12:L16)</f>
        <v>133583</v>
      </c>
      <c r="M11" s="4468">
        <f>SUM(M12:M16)</f>
        <v>0</v>
      </c>
      <c r="N11" s="4468">
        <f>SUM(N12:N16)</f>
        <v>112418</v>
      </c>
      <c r="O11" s="4468">
        <f>N11/C11*100</f>
        <v>48.877391304347825</v>
      </c>
      <c r="P11" s="4468">
        <f>SUM(P12:P16)</f>
        <v>0</v>
      </c>
      <c r="Q11" s="4468">
        <f>SUM(Q12:Q16)</f>
        <v>112418</v>
      </c>
      <c r="R11" s="4468">
        <f>SUM(R12:R16)</f>
        <v>112418</v>
      </c>
      <c r="S11" s="4468">
        <f>SUM(S12:S16)</f>
        <v>0</v>
      </c>
      <c r="T11" s="4468">
        <f t="shared" ref="T11:T61" si="14">N11+H11</f>
        <v>246001</v>
      </c>
      <c r="U11" s="4468">
        <f t="shared" si="6"/>
        <v>106.95695652173913</v>
      </c>
      <c r="V11" s="4468">
        <f t="shared" si="10"/>
        <v>0</v>
      </c>
      <c r="W11" s="4468">
        <f t="shared" si="10"/>
        <v>246001</v>
      </c>
      <c r="X11" s="4468">
        <f t="shared" si="10"/>
        <v>246001</v>
      </c>
      <c r="Y11" s="4468">
        <f t="shared" si="10"/>
        <v>0</v>
      </c>
      <c r="Z11" s="4468">
        <f t="shared" si="11"/>
        <v>16001</v>
      </c>
      <c r="AA11" s="4468">
        <f t="shared" si="12"/>
        <v>0</v>
      </c>
      <c r="AB11" s="4468">
        <f t="shared" si="12"/>
        <v>16001</v>
      </c>
      <c r="AC11" s="4468">
        <f t="shared" si="12"/>
        <v>16001</v>
      </c>
      <c r="AD11" s="4469">
        <f t="shared" si="12"/>
        <v>0</v>
      </c>
    </row>
    <row r="12" spans="1:30" ht="18">
      <c r="A12" s="4465"/>
      <c r="B12" s="4132" t="s">
        <v>7</v>
      </c>
      <c r="C12" s="4470">
        <f>'[2]Phụ lục số 1'!AE12</f>
        <v>170000</v>
      </c>
      <c r="D12" s="4470">
        <f>'[2]Phụ lục số 1'!AG12</f>
        <v>0</v>
      </c>
      <c r="E12" s="4470">
        <f>SUM(F12:G12)</f>
        <v>170000</v>
      </c>
      <c r="F12" s="4470">
        <f>'[2]Phụ lục số 1'!AI12</f>
        <v>170000</v>
      </c>
      <c r="G12" s="4470">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71">
        <f t="shared" si="12"/>
        <v>0</v>
      </c>
    </row>
    <row r="13" spans="1:30" ht="18">
      <c r="A13" s="4465"/>
      <c r="B13" s="4132" t="s">
        <v>8</v>
      </c>
      <c r="C13" s="4470">
        <f>'[2]Phụ lục số 1'!AE13</f>
        <v>20000</v>
      </c>
      <c r="D13" s="4470">
        <f>'[2]Phụ lục số 1'!AG13</f>
        <v>0</v>
      </c>
      <c r="E13" s="4470">
        <f t="shared" ref="E13:E16" si="18">SUM(F13:G13)</f>
        <v>20000</v>
      </c>
      <c r="F13" s="4470">
        <f>'[2]Phụ lục số 1'!AI13</f>
        <v>20000</v>
      </c>
      <c r="G13" s="4470">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71">
        <f t="shared" si="12"/>
        <v>0</v>
      </c>
    </row>
    <row r="14" spans="1:30" ht="18">
      <c r="A14" s="4465"/>
      <c r="B14" s="4132" t="s">
        <v>9</v>
      </c>
      <c r="C14" s="4470">
        <f>'[2]Phụ lục số 1'!AE14</f>
        <v>40000</v>
      </c>
      <c r="D14" s="4470">
        <f>'[2]Phụ lục số 1'!AG14</f>
        <v>0</v>
      </c>
      <c r="E14" s="4470">
        <f t="shared" si="18"/>
        <v>40000</v>
      </c>
      <c r="F14" s="4470">
        <f>'[2]Phụ lục số 1'!AI14</f>
        <v>40000</v>
      </c>
      <c r="G14" s="4470">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71">
        <f t="shared" si="12"/>
        <v>0</v>
      </c>
    </row>
    <row r="15" spans="1:30" ht="18">
      <c r="A15" s="4465"/>
      <c r="B15" s="4132" t="s">
        <v>10</v>
      </c>
      <c r="C15" s="4470">
        <f>'[2]Phụ lục số 1'!AE15</f>
        <v>0</v>
      </c>
      <c r="D15" s="4470">
        <f>'[2]Phụ lục số 1'!AG15</f>
        <v>0</v>
      </c>
      <c r="E15" s="4470">
        <f t="shared" si="18"/>
        <v>0</v>
      </c>
      <c r="F15" s="4470">
        <f>'[2]Phụ lục số 1'!AI15</f>
        <v>0</v>
      </c>
      <c r="G15" s="4470">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71">
        <f t="shared" si="12"/>
        <v>0</v>
      </c>
    </row>
    <row r="16" spans="1:30" ht="18">
      <c r="A16" s="4465"/>
      <c r="B16" s="4132" t="s">
        <v>11</v>
      </c>
      <c r="C16" s="4470">
        <f>'[2]Phụ lục số 1'!AE16</f>
        <v>0</v>
      </c>
      <c r="D16" s="4470">
        <f>'[2]Phụ lục số 1'!AG16</f>
        <v>0</v>
      </c>
      <c r="E16" s="4470">
        <f t="shared" si="18"/>
        <v>0</v>
      </c>
      <c r="F16" s="4470">
        <f>'[2]Phụ lục số 1'!AI16</f>
        <v>0</v>
      </c>
      <c r="G16" s="4470">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71">
        <f t="shared" si="12"/>
        <v>0</v>
      </c>
    </row>
    <row r="17" spans="1:30" s="2423" customFormat="1" ht="17.399999999999999">
      <c r="A17" s="4465">
        <v>2</v>
      </c>
      <c r="B17" s="4466" t="s">
        <v>12</v>
      </c>
      <c r="C17" s="4467">
        <f>SUM(C18:C22)</f>
        <v>300000</v>
      </c>
      <c r="D17" s="4467">
        <f t="shared" ref="D17:G17" si="20">SUM(D18:D22)</f>
        <v>0</v>
      </c>
      <c r="E17" s="4467">
        <f t="shared" si="20"/>
        <v>300000</v>
      </c>
      <c r="F17" s="4467">
        <f t="shared" si="20"/>
        <v>300000</v>
      </c>
      <c r="G17" s="4467">
        <f t="shared" si="20"/>
        <v>0</v>
      </c>
      <c r="H17" s="4468">
        <f>SUM(H18:H22)</f>
        <v>245568</v>
      </c>
      <c r="I17" s="4468">
        <f>H17/C17*100</f>
        <v>81.855999999999995</v>
      </c>
      <c r="J17" s="4468">
        <v>0</v>
      </c>
      <c r="K17" s="4468">
        <f>L17</f>
        <v>245568</v>
      </c>
      <c r="L17" s="4468">
        <f>H17</f>
        <v>245568</v>
      </c>
      <c r="M17" s="4468">
        <v>0</v>
      </c>
      <c r="N17" s="4468">
        <f>SUM(N18:N22)</f>
        <v>42432</v>
      </c>
      <c r="O17" s="4468">
        <f>N17/C17*100</f>
        <v>14.144000000000002</v>
      </c>
      <c r="P17" s="4468">
        <v>0</v>
      </c>
      <c r="Q17" s="4468">
        <f>N17</f>
        <v>42432</v>
      </c>
      <c r="R17" s="4468">
        <f>Q17</f>
        <v>42432</v>
      </c>
      <c r="S17" s="4468">
        <v>0</v>
      </c>
      <c r="T17" s="4468">
        <f t="shared" si="14"/>
        <v>288000</v>
      </c>
      <c r="U17" s="4468">
        <f t="shared" si="6"/>
        <v>96</v>
      </c>
      <c r="V17" s="4468">
        <f t="shared" si="10"/>
        <v>0</v>
      </c>
      <c r="W17" s="4468">
        <f t="shared" si="10"/>
        <v>288000</v>
      </c>
      <c r="X17" s="4468">
        <f t="shared" si="10"/>
        <v>288000</v>
      </c>
      <c r="Y17" s="4468">
        <f t="shared" si="10"/>
        <v>0</v>
      </c>
      <c r="Z17" s="4468">
        <f t="shared" si="11"/>
        <v>-12000</v>
      </c>
      <c r="AA17" s="4468">
        <f t="shared" si="12"/>
        <v>0</v>
      </c>
      <c r="AB17" s="4468">
        <f t="shared" si="12"/>
        <v>-12000</v>
      </c>
      <c r="AC17" s="4468">
        <f t="shared" si="12"/>
        <v>-12000</v>
      </c>
      <c r="AD17" s="4469">
        <f t="shared" si="12"/>
        <v>0</v>
      </c>
    </row>
    <row r="18" spans="1:30" ht="18">
      <c r="A18" s="4465"/>
      <c r="B18" s="4132" t="s">
        <v>7</v>
      </c>
      <c r="C18" s="4470">
        <f>'[2]Phụ lục số 1'!AE18</f>
        <v>110000</v>
      </c>
      <c r="D18" s="4470">
        <f>'[2]Phụ lục số 1'!AG18</f>
        <v>0</v>
      </c>
      <c r="E18" s="4470">
        <f>SUM(F18:G18)</f>
        <v>110000</v>
      </c>
      <c r="F18" s="4470">
        <f>'[2]Phụ lục số 1'!AI18</f>
        <v>110000</v>
      </c>
      <c r="G18" s="4470"/>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71">
        <f t="shared" si="12"/>
        <v>0</v>
      </c>
    </row>
    <row r="19" spans="1:30" ht="18">
      <c r="A19" s="4465"/>
      <c r="B19" s="4132" t="s">
        <v>8</v>
      </c>
      <c r="C19" s="4470">
        <f>'[2]Phụ lục số 1'!AE19</f>
        <v>106000</v>
      </c>
      <c r="D19" s="4470">
        <f>'[2]Phụ lục số 1'!AG19</f>
        <v>0</v>
      </c>
      <c r="E19" s="4470">
        <f t="shared" ref="E19:E22" si="25">SUM(F19:G19)</f>
        <v>106000</v>
      </c>
      <c r="F19" s="4470">
        <f>'[2]Phụ lục số 1'!AI19</f>
        <v>106000</v>
      </c>
      <c r="G19" s="4470"/>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71">
        <f t="shared" si="12"/>
        <v>0</v>
      </c>
    </row>
    <row r="20" spans="1:30" ht="18">
      <c r="A20" s="4465"/>
      <c r="B20" s="4132" t="s">
        <v>9</v>
      </c>
      <c r="C20" s="4470">
        <f>'[2]Phụ lục số 1'!AE20</f>
        <v>0</v>
      </c>
      <c r="D20" s="4470">
        <f>'[2]Phụ lục số 1'!AG20</f>
        <v>0</v>
      </c>
      <c r="E20" s="4470">
        <f t="shared" si="25"/>
        <v>0</v>
      </c>
      <c r="F20" s="4470">
        <f>'[2]Phụ lục số 1'!AI20</f>
        <v>0</v>
      </c>
      <c r="G20" s="4470"/>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71">
        <f t="shared" si="12"/>
        <v>0</v>
      </c>
    </row>
    <row r="21" spans="1:30" ht="18">
      <c r="A21" s="4465"/>
      <c r="B21" s="4132" t="s">
        <v>10</v>
      </c>
      <c r="C21" s="4470">
        <f>'[2]Phụ lục số 1'!AE21</f>
        <v>84000</v>
      </c>
      <c r="D21" s="4470">
        <f>'[2]Phụ lục số 1'!AG21</f>
        <v>0</v>
      </c>
      <c r="E21" s="4470">
        <f t="shared" si="25"/>
        <v>84000</v>
      </c>
      <c r="F21" s="4470">
        <f>'[2]Phụ lục số 1'!AI21</f>
        <v>84000</v>
      </c>
      <c r="G21" s="4470"/>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71">
        <f t="shared" si="12"/>
        <v>0</v>
      </c>
    </row>
    <row r="22" spans="1:30" ht="18">
      <c r="A22" s="4465"/>
      <c r="B22" s="4132" t="s">
        <v>11</v>
      </c>
      <c r="C22" s="4470">
        <f>'[2]Phụ lục số 1'!AE22</f>
        <v>0</v>
      </c>
      <c r="D22" s="4470">
        <f>'[2]Phụ lục số 1'!AG22</f>
        <v>0</v>
      </c>
      <c r="E22" s="4470">
        <f t="shared" si="25"/>
        <v>0</v>
      </c>
      <c r="F22" s="4470">
        <f>'[2]Phụ lục số 1'!AI22</f>
        <v>0</v>
      </c>
      <c r="G22" s="4470"/>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71">
        <f t="shared" si="12"/>
        <v>0</v>
      </c>
    </row>
    <row r="23" spans="1:30" s="4475" customFormat="1" ht="17.399999999999999">
      <c r="A23" s="4472">
        <v>3</v>
      </c>
      <c r="B23" s="4473" t="s">
        <v>13</v>
      </c>
      <c r="C23" s="4467">
        <f>SUM(C24:C27)</f>
        <v>75000</v>
      </c>
      <c r="D23" s="4467">
        <f t="shared" ref="D23:G23" si="26">SUM(D24:D27)</f>
        <v>0</v>
      </c>
      <c r="E23" s="4467">
        <f t="shared" si="26"/>
        <v>75000</v>
      </c>
      <c r="F23" s="4467">
        <f t="shared" si="26"/>
        <v>75000</v>
      </c>
      <c r="G23" s="4467">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74">
        <f t="shared" si="12"/>
        <v>0</v>
      </c>
    </row>
    <row r="24" spans="1:30" ht="18">
      <c r="A24" s="4465"/>
      <c r="B24" s="4132" t="s">
        <v>7</v>
      </c>
      <c r="C24" s="4470">
        <f>'[2]Phụ lục số 1'!AE24</f>
        <v>16000</v>
      </c>
      <c r="D24" s="4470">
        <f>'[2]Phụ lục số 1'!AG24</f>
        <v>0</v>
      </c>
      <c r="E24" s="4470">
        <f>SUM(F24:G24)</f>
        <v>16000</v>
      </c>
      <c r="F24" s="4470">
        <f>'[2]Phụ lục số 1'!AI24</f>
        <v>16000</v>
      </c>
      <c r="G24" s="4470">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71">
        <f t="shared" si="12"/>
        <v>0</v>
      </c>
    </row>
    <row r="25" spans="1:30" ht="18">
      <c r="A25" s="4465"/>
      <c r="B25" s="4132" t="s">
        <v>8</v>
      </c>
      <c r="C25" s="4470">
        <f>'[2]Phụ lục số 1'!AE25</f>
        <v>59000</v>
      </c>
      <c r="D25" s="4470">
        <f>'[2]Phụ lục số 1'!AG25</f>
        <v>0</v>
      </c>
      <c r="E25" s="4470">
        <f t="shared" ref="E25:E27" si="27">SUM(F25:G25)</f>
        <v>59000</v>
      </c>
      <c r="F25" s="4470">
        <f>'[2]Phụ lục số 1'!AI25</f>
        <v>59000</v>
      </c>
      <c r="G25" s="4470">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71">
        <f t="shared" si="12"/>
        <v>0</v>
      </c>
    </row>
    <row r="26" spans="1:30" ht="18">
      <c r="A26" s="4465"/>
      <c r="B26" s="4132" t="s">
        <v>10</v>
      </c>
      <c r="C26" s="4470">
        <f>'[2]Phụ lục số 1'!AE26</f>
        <v>0</v>
      </c>
      <c r="D26" s="4470">
        <f>'[2]Phụ lục số 1'!AG26</f>
        <v>0</v>
      </c>
      <c r="E26" s="4470">
        <f t="shared" si="27"/>
        <v>0</v>
      </c>
      <c r="F26" s="4470">
        <f>'[2]Phụ lục số 1'!AI26</f>
        <v>0</v>
      </c>
      <c r="G26" s="4470">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71">
        <f t="shared" si="12"/>
        <v>0</v>
      </c>
    </row>
    <row r="27" spans="1:30" ht="18">
      <c r="A27" s="4465"/>
      <c r="B27" s="4132" t="s">
        <v>14</v>
      </c>
      <c r="C27" s="4470">
        <f>'[2]Phụ lục số 1'!AE27</f>
        <v>0</v>
      </c>
      <c r="D27" s="4470">
        <f>'[2]Phụ lục số 1'!AG27</f>
        <v>0</v>
      </c>
      <c r="E27" s="4470">
        <f t="shared" si="27"/>
        <v>0</v>
      </c>
      <c r="F27" s="4470">
        <f>'[2]Phụ lục số 1'!AI27</f>
        <v>0</v>
      </c>
      <c r="G27" s="4470">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71">
        <f t="shared" si="12"/>
        <v>0</v>
      </c>
    </row>
    <row r="28" spans="1:30" s="2423" customFormat="1" ht="17.399999999999999">
      <c r="A28" s="4465">
        <v>4</v>
      </c>
      <c r="B28" s="4466" t="s">
        <v>15</v>
      </c>
      <c r="C28" s="4467">
        <f>SUM(C29:C33)</f>
        <v>1701000</v>
      </c>
      <c r="D28" s="4467">
        <f t="shared" ref="D28:H28" si="28">SUM(D29:D33)</f>
        <v>0</v>
      </c>
      <c r="E28" s="4467">
        <f t="shared" si="28"/>
        <v>1701000</v>
      </c>
      <c r="F28" s="4467">
        <f t="shared" si="28"/>
        <v>70920</v>
      </c>
      <c r="G28" s="4467">
        <f t="shared" si="28"/>
        <v>1630080</v>
      </c>
      <c r="H28" s="4468">
        <f t="shared" si="28"/>
        <v>613892</v>
      </c>
      <c r="I28" s="4468">
        <f>H28/C28*100</f>
        <v>36.090064667842448</v>
      </c>
      <c r="J28" s="4468">
        <f>SUM(J29:J33)</f>
        <v>0</v>
      </c>
      <c r="K28" s="4468">
        <f>SUM(K29:K33)</f>
        <v>613892</v>
      </c>
      <c r="L28" s="4468">
        <f>SUM(L29:L33)</f>
        <v>58076</v>
      </c>
      <c r="M28" s="4468">
        <f>SUM(M29:M33)</f>
        <v>555816</v>
      </c>
      <c r="N28" s="4468">
        <f>SUM(N29:N33)</f>
        <v>486108</v>
      </c>
      <c r="O28" s="4468">
        <f>N28/C28*100</f>
        <v>28.577777777777779</v>
      </c>
      <c r="P28" s="4468">
        <v>0</v>
      </c>
      <c r="Q28" s="4468">
        <f>SUM(Q29:Q33)</f>
        <v>486108</v>
      </c>
      <c r="R28" s="4468">
        <f>SUM(R29:R33)</f>
        <v>30800</v>
      </c>
      <c r="S28" s="4468">
        <f>SUM(S29:S33)</f>
        <v>455308</v>
      </c>
      <c r="T28" s="4468">
        <f t="shared" si="14"/>
        <v>1100000</v>
      </c>
      <c r="U28" s="4468">
        <f t="shared" si="6"/>
        <v>64.667842445620224</v>
      </c>
      <c r="V28" s="4468">
        <f t="shared" si="10"/>
        <v>0</v>
      </c>
      <c r="W28" s="4468">
        <f t="shared" si="10"/>
        <v>1100000</v>
      </c>
      <c r="X28" s="4468">
        <f t="shared" si="10"/>
        <v>88876</v>
      </c>
      <c r="Y28" s="4468">
        <f t="shared" si="10"/>
        <v>1011124</v>
      </c>
      <c r="Z28" s="4468">
        <f t="shared" si="11"/>
        <v>-601000</v>
      </c>
      <c r="AA28" s="4468">
        <f t="shared" si="12"/>
        <v>0</v>
      </c>
      <c r="AB28" s="4468">
        <f t="shared" si="12"/>
        <v>-601000</v>
      </c>
      <c r="AC28" s="4468">
        <f t="shared" si="12"/>
        <v>17956</v>
      </c>
      <c r="AD28" s="4469">
        <f t="shared" si="12"/>
        <v>-618956</v>
      </c>
    </row>
    <row r="29" spans="1:30" ht="18">
      <c r="A29" s="4465"/>
      <c r="B29" s="4132" t="s">
        <v>7</v>
      </c>
      <c r="C29" s="4470">
        <f>'[2]Phụ lục số 1'!AE29</f>
        <v>724290</v>
      </c>
      <c r="D29" s="4470"/>
      <c r="E29" s="4470">
        <f>SUM(F29:G29)</f>
        <v>724290</v>
      </c>
      <c r="F29" s="4470">
        <f>'[2]Phụ lục số 1'!AI29</f>
        <v>0</v>
      </c>
      <c r="G29" s="4470">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71">
        <f t="shared" si="12"/>
        <v>-161716</v>
      </c>
    </row>
    <row r="30" spans="1:30" ht="18">
      <c r="A30" s="4465"/>
      <c r="B30" s="4132" t="s">
        <v>8</v>
      </c>
      <c r="C30" s="4470">
        <f>'[2]Phụ lục số 1'!AE30</f>
        <v>905790</v>
      </c>
      <c r="D30" s="4470"/>
      <c r="E30" s="4470">
        <f t="shared" ref="E30:E33" si="31">SUM(F30:G30)</f>
        <v>905790</v>
      </c>
      <c r="F30" s="4470">
        <f>'[2]Phụ lục số 1'!AI30</f>
        <v>0</v>
      </c>
      <c r="G30" s="4470">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71">
        <f t="shared" si="12"/>
        <v>-457435</v>
      </c>
    </row>
    <row r="31" spans="1:30" ht="18">
      <c r="A31" s="4465"/>
      <c r="B31" s="4132" t="s">
        <v>9</v>
      </c>
      <c r="C31" s="4470">
        <f>'[2]Phụ lục số 1'!AE31</f>
        <v>63450</v>
      </c>
      <c r="D31" s="4470"/>
      <c r="E31" s="4470">
        <f t="shared" si="31"/>
        <v>63450</v>
      </c>
      <c r="F31" s="4470">
        <f>'[2]Phụ lục số 1'!AI31</f>
        <v>63450</v>
      </c>
      <c r="G31" s="4470">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71">
        <f t="shared" si="12"/>
        <v>0</v>
      </c>
    </row>
    <row r="32" spans="1:30" ht="18">
      <c r="A32" s="4465"/>
      <c r="B32" s="4132" t="s">
        <v>10</v>
      </c>
      <c r="C32" s="4470">
        <f>'[2]Phụ lục số 1'!AE32</f>
        <v>5970</v>
      </c>
      <c r="D32" s="4470"/>
      <c r="E32" s="4470">
        <f t="shared" si="31"/>
        <v>5970</v>
      </c>
      <c r="F32" s="4470">
        <f>'[2]Phụ lục số 1'!AI32</f>
        <v>5970</v>
      </c>
      <c r="G32" s="4470">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71">
        <f t="shared" si="12"/>
        <v>0</v>
      </c>
    </row>
    <row r="33" spans="1:30" ht="18">
      <c r="A33" s="4465"/>
      <c r="B33" s="4132" t="s">
        <v>16</v>
      </c>
      <c r="C33" s="4470">
        <f>'[2]Phụ lục số 1'!AE33</f>
        <v>1500</v>
      </c>
      <c r="D33" s="4470"/>
      <c r="E33" s="4470">
        <f t="shared" si="31"/>
        <v>1500</v>
      </c>
      <c r="F33" s="4470">
        <f>'[2]Phụ lục số 1'!AI33</f>
        <v>1500</v>
      </c>
      <c r="G33" s="4470">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71">
        <f t="shared" si="12"/>
        <v>195</v>
      </c>
    </row>
    <row r="34" spans="1:30" s="2508" customFormat="1" ht="17.399999999999999">
      <c r="A34" s="4472">
        <v>5</v>
      </c>
      <c r="B34" s="4473" t="s">
        <v>17</v>
      </c>
      <c r="C34" s="4467">
        <f>'[2]Phụ lục số 1'!AE34</f>
        <v>350000</v>
      </c>
      <c r="D34" s="4467"/>
      <c r="E34" s="4467">
        <f>SUM(F34:G34)</f>
        <v>350000</v>
      </c>
      <c r="F34" s="4467">
        <f>'[2]Phụ lục số 1'!AI34</f>
        <v>0</v>
      </c>
      <c r="G34" s="4467">
        <f>'[2]Phụ lục số 1'!AJ34</f>
        <v>350000</v>
      </c>
      <c r="H34" s="4476">
        <v>190668</v>
      </c>
      <c r="I34" s="3884">
        <f>H34/C34*100</f>
        <v>54.476571428571432</v>
      </c>
      <c r="J34" s="3884">
        <f>0</f>
        <v>0</v>
      </c>
      <c r="K34" s="3884">
        <f>H34-J34</f>
        <v>190668</v>
      </c>
      <c r="L34" s="3884">
        <f t="shared" si="32"/>
        <v>0</v>
      </c>
      <c r="M34" s="3884">
        <f>H34</f>
        <v>190668</v>
      </c>
      <c r="N34" s="4476">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74">
        <f t="shared" si="12"/>
        <v>-107000</v>
      </c>
    </row>
    <row r="35" spans="1:30" s="2508" customFormat="1" ht="17.399999999999999">
      <c r="A35" s="4472">
        <v>6</v>
      </c>
      <c r="B35" s="4473" t="s">
        <v>18</v>
      </c>
      <c r="C35" s="4467">
        <f>'[2]Phụ lục số 1'!AE35</f>
        <v>0</v>
      </c>
      <c r="D35" s="4467"/>
      <c r="E35" s="4467">
        <f t="shared" ref="E35:E36" si="36">SUM(F35:G35)</f>
        <v>0</v>
      </c>
      <c r="F35" s="4467"/>
      <c r="G35" s="4467"/>
      <c r="H35" s="4476">
        <v>201</v>
      </c>
      <c r="I35" s="3884"/>
      <c r="J35" s="3884">
        <f>0</f>
        <v>0</v>
      </c>
      <c r="K35" s="3884">
        <f t="shared" ref="K35:K48" si="37">H35-J35</f>
        <v>201</v>
      </c>
      <c r="L35" s="3884">
        <f t="shared" si="32"/>
        <v>0</v>
      </c>
      <c r="M35" s="3884">
        <f>H35</f>
        <v>201</v>
      </c>
      <c r="N35" s="4476">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74">
        <f t="shared" si="12"/>
        <v>203</v>
      </c>
    </row>
    <row r="36" spans="1:30" s="2508" customFormat="1" ht="17.399999999999999">
      <c r="A36" s="4472">
        <v>7</v>
      </c>
      <c r="B36" s="4473" t="s">
        <v>19</v>
      </c>
      <c r="C36" s="4467">
        <f>'[2]Phụ lục số 1'!AE36</f>
        <v>15000</v>
      </c>
      <c r="D36" s="4467"/>
      <c r="E36" s="4467">
        <f t="shared" si="36"/>
        <v>15000</v>
      </c>
      <c r="F36" s="4467">
        <f>'[2]Phụ lục số 1'!AI36</f>
        <v>0</v>
      </c>
      <c r="G36" s="4467">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74">
        <f t="shared" si="12"/>
        <v>-6000</v>
      </c>
    </row>
    <row r="37" spans="1:30" s="2508" customFormat="1" ht="17.399999999999999">
      <c r="A37" s="4477">
        <v>8</v>
      </c>
      <c r="B37" s="4478" t="s">
        <v>20</v>
      </c>
      <c r="C37" s="4467">
        <f>'[2]Phụ lục số 1'!AE37</f>
        <v>730000</v>
      </c>
      <c r="D37" s="4467"/>
      <c r="E37" s="4467">
        <f>SUM(F37:G37)</f>
        <v>730000</v>
      </c>
      <c r="F37" s="4467">
        <f>'[2]Phụ lục số 1'!AI37</f>
        <v>408000</v>
      </c>
      <c r="G37" s="4467">
        <f>'[2]Phụ lục số 1'!AJ37</f>
        <v>322000</v>
      </c>
      <c r="H37" s="3865">
        <v>362140</v>
      </c>
      <c r="I37" s="3884">
        <f t="shared" si="39"/>
        <v>49.608219178082194</v>
      </c>
      <c r="J37" s="3884">
        <f>0</f>
        <v>0</v>
      </c>
      <c r="K37" s="3884">
        <f t="shared" si="37"/>
        <v>362140</v>
      </c>
      <c r="L37" s="3884">
        <f>K37-M37</f>
        <v>202140</v>
      </c>
      <c r="M37" s="4479">
        <f>ROUND(I37*G37/100,-3)</f>
        <v>160000</v>
      </c>
      <c r="N37" s="3865">
        <v>92860</v>
      </c>
      <c r="O37" s="3884">
        <f t="shared" si="35"/>
        <v>12.72054794520548</v>
      </c>
      <c r="P37" s="3884">
        <f>0</f>
        <v>0</v>
      </c>
      <c r="Q37" s="3884">
        <f t="shared" si="38"/>
        <v>92860</v>
      </c>
      <c r="R37" s="3884">
        <f t="shared" si="33"/>
        <v>51860</v>
      </c>
      <c r="S37" s="4479">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74">
        <f t="shared" si="12"/>
        <v>-121000</v>
      </c>
    </row>
    <row r="38" spans="1:30" s="2508" customFormat="1" ht="17.399999999999999">
      <c r="A38" s="4472">
        <v>9</v>
      </c>
      <c r="B38" s="4473" t="s">
        <v>21</v>
      </c>
      <c r="C38" s="4467">
        <f>'[2]Phụ lục số 1'!AE38</f>
        <v>1065000</v>
      </c>
      <c r="D38" s="4467">
        <f>'[2]Phụ lục số 1'!AG38</f>
        <v>426000</v>
      </c>
      <c r="E38" s="4467">
        <f t="shared" ref="E38:E48" si="40">SUM(F38:G38)</f>
        <v>639000</v>
      </c>
      <c r="F38" s="4467">
        <f>'[2]Phụ lục số 1'!AI38</f>
        <v>639000</v>
      </c>
      <c r="G38" s="4467">
        <f>'[2]Phụ lục số 1'!AJ38</f>
        <v>0</v>
      </c>
      <c r="H38" s="3865">
        <v>621429</v>
      </c>
      <c r="I38" s="3884">
        <f t="shared" si="39"/>
        <v>58.35014084507042</v>
      </c>
      <c r="J38" s="4479">
        <f>ROUND(H38*40%,-3)</f>
        <v>249000</v>
      </c>
      <c r="K38" s="3884">
        <f t="shared" si="37"/>
        <v>372429</v>
      </c>
      <c r="L38" s="3884">
        <f>K38-M38</f>
        <v>372429</v>
      </c>
      <c r="M38" s="3884">
        <v>0</v>
      </c>
      <c r="N38" s="3865">
        <v>396571</v>
      </c>
      <c r="O38" s="3884">
        <f t="shared" si="35"/>
        <v>37.236713615023476</v>
      </c>
      <c r="P38" s="4479">
        <f>ROUND(N38*40%,-3)</f>
        <v>159000</v>
      </c>
      <c r="Q38" s="4479">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74">
        <f t="shared" si="12"/>
        <v>0</v>
      </c>
    </row>
    <row r="39" spans="1:30" s="2508" customFormat="1" ht="17.399999999999999">
      <c r="A39" s="4477">
        <v>10</v>
      </c>
      <c r="B39" s="4478" t="s">
        <v>22</v>
      </c>
      <c r="C39" s="4467">
        <f>'[2]Phụ lục số 1'!AE39</f>
        <v>170000</v>
      </c>
      <c r="D39" s="4467">
        <f>'[2]Phụ lục số 1'!AG39</f>
        <v>60000</v>
      </c>
      <c r="E39" s="4467">
        <f t="shared" si="40"/>
        <v>110000</v>
      </c>
      <c r="F39" s="4467">
        <f>'[2]Phụ lục số 1'!AI39</f>
        <v>47600</v>
      </c>
      <c r="G39" s="4467">
        <f>'[2]Phụ lục số 1'!AJ39</f>
        <v>62400</v>
      </c>
      <c r="H39" s="3865">
        <v>106821</v>
      </c>
      <c r="I39" s="3884">
        <f t="shared" si="39"/>
        <v>62.835882352941177</v>
      </c>
      <c r="J39" s="4479">
        <f>ROUND(I39*D39/100,-3)</f>
        <v>38000</v>
      </c>
      <c r="K39" s="3884">
        <f>H39-J39</f>
        <v>68821</v>
      </c>
      <c r="L39" s="3884">
        <f>K39-M39</f>
        <v>29821</v>
      </c>
      <c r="M39" s="4479">
        <f>ROUND(I39*G39/100,-3)</f>
        <v>39000</v>
      </c>
      <c r="N39" s="3865">
        <v>51179</v>
      </c>
      <c r="O39" s="3884">
        <f t="shared" si="35"/>
        <v>30.105294117647059</v>
      </c>
      <c r="P39" s="4479">
        <f>ROUND(O39*D39/100,-3)</f>
        <v>18000</v>
      </c>
      <c r="Q39" s="4479">
        <f>N39-P39</f>
        <v>33179</v>
      </c>
      <c r="R39" s="3884">
        <f>Q39-S39</f>
        <v>14179</v>
      </c>
      <c r="S39" s="4479">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74">
        <f t="shared" si="12"/>
        <v>-4400</v>
      </c>
    </row>
    <row r="40" spans="1:30" s="2508" customFormat="1" ht="17.399999999999999">
      <c r="A40" s="4472">
        <v>11</v>
      </c>
      <c r="B40" s="4473" t="s">
        <v>23</v>
      </c>
      <c r="C40" s="4467">
        <f>'[2]Phụ lục số 1'!AE40</f>
        <v>1770000</v>
      </c>
      <c r="D40" s="4467"/>
      <c r="E40" s="4467">
        <f t="shared" si="40"/>
        <v>1770000</v>
      </c>
      <c r="F40" s="4467">
        <f>'[2]Phụ lục số 1'!AI40</f>
        <v>627000</v>
      </c>
      <c r="G40" s="4467">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74">
        <f t="shared" si="12"/>
        <v>-819000</v>
      </c>
    </row>
    <row r="41" spans="1:30" s="2508" customFormat="1" ht="17.399999999999999">
      <c r="A41" s="4472">
        <v>12</v>
      </c>
      <c r="B41" s="4473" t="s">
        <v>24</v>
      </c>
      <c r="C41" s="4467">
        <f>'[2]Phụ lục số 1'!AE41</f>
        <v>315000</v>
      </c>
      <c r="D41" s="4467"/>
      <c r="E41" s="4467">
        <f t="shared" si="40"/>
        <v>315000</v>
      </c>
      <c r="F41" s="4467">
        <f>'[2]Phụ lục số 1'!AI41</f>
        <v>45900</v>
      </c>
      <c r="G41" s="4467">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74">
        <f t="shared" si="12"/>
        <v>-61000</v>
      </c>
    </row>
    <row r="42" spans="1:30" s="2508" customFormat="1" ht="17.399999999999999">
      <c r="A42" s="4472">
        <v>13</v>
      </c>
      <c r="B42" s="4473" t="s">
        <v>25</v>
      </c>
      <c r="C42" s="4467">
        <f>'[2]Phụ lục số 1'!AE42</f>
        <v>0</v>
      </c>
      <c r="D42" s="4467"/>
      <c r="E42" s="4467">
        <f t="shared" si="40"/>
        <v>0</v>
      </c>
      <c r="F42" s="4467">
        <f>'[2]Phụ lục số 1'!AI42</f>
        <v>0</v>
      </c>
      <c r="G42" s="4467">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74">
        <f t="shared" si="12"/>
        <v>0</v>
      </c>
    </row>
    <row r="43" spans="1:30" ht="17.399999999999999">
      <c r="A43" s="4480">
        <v>14</v>
      </c>
      <c r="B43" s="4481" t="s">
        <v>26</v>
      </c>
      <c r="C43" s="4467">
        <f>'[2]Phụ lục số 1'!AE43</f>
        <v>326000</v>
      </c>
      <c r="D43" s="4467">
        <f>'[2]Phụ lục số 1'!AG43</f>
        <v>95000</v>
      </c>
      <c r="E43" s="4467">
        <f t="shared" si="40"/>
        <v>231030</v>
      </c>
      <c r="F43" s="4467">
        <f>'[2]Phụ lục số 1'!AI43</f>
        <v>85530</v>
      </c>
      <c r="G43" s="4467">
        <f>'[2]Phụ lục số 1'!AJ43</f>
        <v>145500</v>
      </c>
      <c r="H43" s="2281">
        <v>146346</v>
      </c>
      <c r="I43" s="4468">
        <f t="shared" si="39"/>
        <v>44.891411042944782</v>
      </c>
      <c r="J43" s="4479">
        <f>ROUND(I43*D43/100,-3)</f>
        <v>43000</v>
      </c>
      <c r="K43" s="4468">
        <f>H43-J43</f>
        <v>103346</v>
      </c>
      <c r="L43" s="4468">
        <f t="shared" si="32"/>
        <v>38346</v>
      </c>
      <c r="M43" s="4479">
        <f>ROUND(I43*G43/100,-3)</f>
        <v>65000</v>
      </c>
      <c r="N43" s="2281">
        <v>107654</v>
      </c>
      <c r="O43" s="4468">
        <f t="shared" si="35"/>
        <v>33.022699386503071</v>
      </c>
      <c r="P43" s="4479">
        <f>ROUND(O43*D43/100,-3)</f>
        <v>31000</v>
      </c>
      <c r="Q43" s="4468">
        <f t="shared" si="38"/>
        <v>76654</v>
      </c>
      <c r="R43" s="4482">
        <f>Q43-S43</f>
        <v>28654</v>
      </c>
      <c r="S43" s="4479">
        <f>ROUND(O43*G43/100,-3)</f>
        <v>48000</v>
      </c>
      <c r="T43" s="4468">
        <f>N43+H43</f>
        <v>254000</v>
      </c>
      <c r="U43" s="4468">
        <f t="shared" si="6"/>
        <v>77.914110429447859</v>
      </c>
      <c r="V43" s="4468">
        <f t="shared" si="10"/>
        <v>74000</v>
      </c>
      <c r="W43" s="4468">
        <f t="shared" si="10"/>
        <v>180000</v>
      </c>
      <c r="X43" s="4468">
        <f t="shared" si="10"/>
        <v>67000</v>
      </c>
      <c r="Y43" s="4468">
        <f>S43+M43</f>
        <v>113000</v>
      </c>
      <c r="Z43" s="4468">
        <f t="shared" si="11"/>
        <v>-72000</v>
      </c>
      <c r="AA43" s="4468">
        <f t="shared" si="12"/>
        <v>-21000</v>
      </c>
      <c r="AB43" s="4468">
        <f t="shared" si="12"/>
        <v>-51030</v>
      </c>
      <c r="AC43" s="4468">
        <f t="shared" si="12"/>
        <v>-18530</v>
      </c>
      <c r="AD43" s="4469">
        <f t="shared" si="12"/>
        <v>-32500</v>
      </c>
    </row>
    <row r="44" spans="1:30" ht="17.399999999999999">
      <c r="A44" s="4465">
        <v>15</v>
      </c>
      <c r="B44" s="4466" t="s">
        <v>27</v>
      </c>
      <c r="C44" s="4467">
        <f>'[2]Phụ lục số 1'!AE44</f>
        <v>30000</v>
      </c>
      <c r="D44" s="4467">
        <f>'[2]Phụ lục số 1'!AG44</f>
        <v>100</v>
      </c>
      <c r="E44" s="4467">
        <f t="shared" si="40"/>
        <v>29900</v>
      </c>
      <c r="F44" s="4467">
        <f>'[2]Phụ lục số 1'!AI44</f>
        <v>29900</v>
      </c>
      <c r="G44" s="4467"/>
      <c r="H44" s="2281">
        <v>1197</v>
      </c>
      <c r="I44" s="4468">
        <f t="shared" si="39"/>
        <v>3.9899999999999998</v>
      </c>
      <c r="J44" s="4479">
        <f>ROUND(I44*D44/100,-3)</f>
        <v>0</v>
      </c>
      <c r="K44" s="4468">
        <f t="shared" si="37"/>
        <v>1197</v>
      </c>
      <c r="L44" s="4468">
        <f t="shared" si="32"/>
        <v>1197</v>
      </c>
      <c r="M44" s="4479">
        <f>ROUND(I44*G44/100,-3)</f>
        <v>0</v>
      </c>
      <c r="N44" s="2281">
        <v>19803</v>
      </c>
      <c r="O44" s="4468">
        <f t="shared" si="35"/>
        <v>66.010000000000005</v>
      </c>
      <c r="P44" s="4479">
        <f>ROUND(O44*D44/100,-3)</f>
        <v>0</v>
      </c>
      <c r="Q44" s="4468">
        <f t="shared" si="38"/>
        <v>19803</v>
      </c>
      <c r="R44" s="4482">
        <f>Q44-S44</f>
        <v>19803</v>
      </c>
      <c r="S44" s="4479">
        <f>ROUND(O44*G44/100,-3)</f>
        <v>0</v>
      </c>
      <c r="T44" s="4468">
        <f t="shared" si="14"/>
        <v>21000</v>
      </c>
      <c r="U44" s="4468">
        <f t="shared" si="6"/>
        <v>70</v>
      </c>
      <c r="V44" s="4468">
        <f t="shared" si="10"/>
        <v>0</v>
      </c>
      <c r="W44" s="4468">
        <f t="shared" si="10"/>
        <v>21000</v>
      </c>
      <c r="X44" s="4468">
        <f>R44+L44</f>
        <v>21000</v>
      </c>
      <c r="Y44" s="4468">
        <f t="shared" si="10"/>
        <v>0</v>
      </c>
      <c r="Z44" s="4468">
        <f t="shared" si="11"/>
        <v>-9000</v>
      </c>
      <c r="AA44" s="4468">
        <f t="shared" si="12"/>
        <v>-100</v>
      </c>
      <c r="AB44" s="4468">
        <f t="shared" si="12"/>
        <v>-8900</v>
      </c>
      <c r="AC44" s="4468">
        <f t="shared" si="12"/>
        <v>-8900</v>
      </c>
      <c r="AD44" s="4469">
        <f t="shared" si="12"/>
        <v>0</v>
      </c>
    </row>
    <row r="45" spans="1:30" s="2508" customFormat="1" ht="17.399999999999999">
      <c r="A45" s="4472">
        <v>16</v>
      </c>
      <c r="B45" s="4473" t="s">
        <v>28</v>
      </c>
      <c r="C45" s="4467">
        <f>'[2]Phụ lục số 1'!AE45</f>
        <v>37000</v>
      </c>
      <c r="D45" s="4467"/>
      <c r="E45" s="4467">
        <f t="shared" si="40"/>
        <v>37000</v>
      </c>
      <c r="F45" s="4467">
        <f>'[2]Phụ lục số 1'!AI45</f>
        <v>37000</v>
      </c>
      <c r="G45" s="4467">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74">
        <f t="shared" si="12"/>
        <v>0</v>
      </c>
    </row>
    <row r="46" spans="1:30" s="2509" customFormat="1" ht="18">
      <c r="A46" s="4483" t="s">
        <v>29</v>
      </c>
      <c r="B46" s="4484" t="s">
        <v>30</v>
      </c>
      <c r="C46" s="4485"/>
      <c r="D46" s="4485"/>
      <c r="E46" s="4485">
        <f>SUM(F46:G46)</f>
        <v>0</v>
      </c>
      <c r="F46" s="4485">
        <f>C46-D46-G46</f>
        <v>0</v>
      </c>
      <c r="G46" s="4485"/>
      <c r="H46" s="4486"/>
      <c r="I46" s="4486"/>
      <c r="J46" s="4486"/>
      <c r="K46" s="4486">
        <f t="shared" si="37"/>
        <v>0</v>
      </c>
      <c r="L46" s="4486"/>
      <c r="M46" s="4486">
        <v>0</v>
      </c>
      <c r="N46" s="4486">
        <f>C46-H46</f>
        <v>0</v>
      </c>
      <c r="O46" s="4486" t="e">
        <f t="shared" si="35"/>
        <v>#DIV/0!</v>
      </c>
      <c r="P46" s="4486"/>
      <c r="Q46" s="4486">
        <f t="shared" si="38"/>
        <v>0</v>
      </c>
      <c r="R46" s="4486">
        <f t="shared" si="41"/>
        <v>0</v>
      </c>
      <c r="S46" s="4486">
        <v>0</v>
      </c>
      <c r="T46" s="4486">
        <f t="shared" si="14"/>
        <v>0</v>
      </c>
      <c r="U46" s="4486" t="e">
        <f t="shared" si="6"/>
        <v>#DIV/0!</v>
      </c>
      <c r="V46" s="4486">
        <f t="shared" si="10"/>
        <v>0</v>
      </c>
      <c r="W46" s="4486">
        <f t="shared" si="10"/>
        <v>0</v>
      </c>
      <c r="X46" s="4486">
        <f t="shared" si="10"/>
        <v>0</v>
      </c>
      <c r="Y46" s="4486"/>
      <c r="Z46" s="4486"/>
      <c r="AA46" s="4486"/>
      <c r="AB46" s="4486"/>
      <c r="AC46" s="4486"/>
      <c r="AD46" s="4487"/>
    </row>
    <row r="47" spans="1:30" s="2508" customFormat="1" ht="17.399999999999999">
      <c r="A47" s="4472">
        <v>17</v>
      </c>
      <c r="B47" s="4473" t="s">
        <v>31</v>
      </c>
      <c r="C47" s="4467">
        <f>'[2]Phụ lục số 1'!AE47</f>
        <v>2000</v>
      </c>
      <c r="D47" s="4467"/>
      <c r="E47" s="4467">
        <f t="shared" si="40"/>
        <v>2000</v>
      </c>
      <c r="F47" s="4467">
        <f>'[2]Phụ lục số 1'!AI47</f>
        <v>0</v>
      </c>
      <c r="G47" s="4467">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74">
        <f t="shared" si="12"/>
        <v>1000</v>
      </c>
    </row>
    <row r="48" spans="1:30" s="2508" customFormat="1" ht="17.399999999999999">
      <c r="A48" s="4472">
        <v>18</v>
      </c>
      <c r="B48" s="4473" t="s">
        <v>32</v>
      </c>
      <c r="C48" s="4467">
        <f>'[2]Phụ lục số 1'!AE48</f>
        <v>1950000</v>
      </c>
      <c r="D48" s="4467"/>
      <c r="E48" s="4467">
        <f t="shared" si="40"/>
        <v>1950000</v>
      </c>
      <c r="F48" s="4467">
        <f>'[2]Phụ lục số 1'!AI48</f>
        <v>1950000</v>
      </c>
      <c r="G48" s="4467">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488">
        <f t="shared" si="14"/>
        <v>1500000</v>
      </c>
      <c r="U48" s="3884">
        <f t="shared" si="6"/>
        <v>76.923076923076934</v>
      </c>
      <c r="V48" s="3884">
        <f t="shared" si="10"/>
        <v>0</v>
      </c>
      <c r="W48" s="3884">
        <f t="shared" si="10"/>
        <v>1500000</v>
      </c>
      <c r="X48" s="3884">
        <f t="shared" si="10"/>
        <v>1500000</v>
      </c>
      <c r="Y48" s="3884">
        <f t="shared" si="10"/>
        <v>0</v>
      </c>
      <c r="Z48" s="4488">
        <f t="shared" si="11"/>
        <v>-450000</v>
      </c>
      <c r="AA48" s="4488">
        <f t="shared" si="12"/>
        <v>0</v>
      </c>
      <c r="AB48" s="4488">
        <f t="shared" si="12"/>
        <v>-450000</v>
      </c>
      <c r="AC48" s="4488">
        <f t="shared" si="12"/>
        <v>-450000</v>
      </c>
      <c r="AD48" s="4489">
        <f t="shared" si="12"/>
        <v>0</v>
      </c>
    </row>
    <row r="49" spans="1:30" s="2423" customFormat="1" ht="17.399999999999999">
      <c r="A49" s="4458" t="s">
        <v>33</v>
      </c>
      <c r="B49" s="4118" t="s">
        <v>34</v>
      </c>
      <c r="C49" s="4467">
        <f>SUM(C50:C52)</f>
        <v>200000</v>
      </c>
      <c r="D49" s="4467">
        <f t="shared" ref="D49:G49" si="42">SUM(D50:D52)</f>
        <v>200000</v>
      </c>
      <c r="E49" s="4467">
        <f t="shared" si="42"/>
        <v>0</v>
      </c>
      <c r="F49" s="4467">
        <f t="shared" si="42"/>
        <v>0</v>
      </c>
      <c r="G49" s="4467">
        <f t="shared" si="42"/>
        <v>0</v>
      </c>
      <c r="H49" s="719">
        <f>SUM(H50:H52)</f>
        <v>259000</v>
      </c>
      <c r="I49" s="4468">
        <f>H49/C49*100</f>
        <v>129.5</v>
      </c>
      <c r="J49" s="719">
        <f>SUM(J50:J52)</f>
        <v>259000</v>
      </c>
      <c r="K49" s="719">
        <f t="shared" ref="K49:M49" si="43">SUM(K50:K52)</f>
        <v>0</v>
      </c>
      <c r="L49" s="719">
        <f t="shared" si="43"/>
        <v>0</v>
      </c>
      <c r="M49" s="719">
        <f t="shared" si="43"/>
        <v>0</v>
      </c>
      <c r="N49" s="719">
        <f t="shared" ref="N49" si="44">SUM(N50:N51)</f>
        <v>104500</v>
      </c>
      <c r="O49" s="4468">
        <f t="shared" si="35"/>
        <v>52.25</v>
      </c>
      <c r="P49" s="719">
        <f t="shared" ref="P49:S49" si="45">SUM(P50:P51)</f>
        <v>104500</v>
      </c>
      <c r="Q49" s="719">
        <f t="shared" si="45"/>
        <v>0</v>
      </c>
      <c r="R49" s="719">
        <f t="shared" si="45"/>
        <v>0</v>
      </c>
      <c r="S49" s="719">
        <f t="shared" si="45"/>
        <v>0</v>
      </c>
      <c r="T49" s="719">
        <f t="shared" si="14"/>
        <v>363500</v>
      </c>
      <c r="U49" s="4468">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60">
        <f t="shared" si="12"/>
        <v>0</v>
      </c>
    </row>
    <row r="50" spans="1:30" ht="18">
      <c r="A50" s="4465"/>
      <c r="B50" s="4132" t="s">
        <v>35</v>
      </c>
      <c r="C50" s="4470">
        <v>45000</v>
      </c>
      <c r="D50" s="4470">
        <f>C50</f>
        <v>45000</v>
      </c>
      <c r="E50" s="4470">
        <f>SUM(F50:G50)</f>
        <v>0</v>
      </c>
      <c r="F50" s="4470"/>
      <c r="G50" s="4470"/>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71">
        <f t="shared" si="12"/>
        <v>0</v>
      </c>
    </row>
    <row r="51" spans="1:30" ht="18">
      <c r="A51" s="4465"/>
      <c r="B51" s="4132" t="s">
        <v>36</v>
      </c>
      <c r="C51" s="4470">
        <v>154000</v>
      </c>
      <c r="D51" s="4470">
        <f>C51</f>
        <v>154000</v>
      </c>
      <c r="E51" s="4470">
        <f t="shared" ref="E51:E52" si="46">SUM(F51:G51)</f>
        <v>0</v>
      </c>
      <c r="F51" s="4470"/>
      <c r="G51" s="4470"/>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71">
        <f t="shared" si="12"/>
        <v>0</v>
      </c>
    </row>
    <row r="52" spans="1:30" ht="18">
      <c r="A52" s="4465"/>
      <c r="B52" s="4132" t="s">
        <v>135</v>
      </c>
      <c r="C52" s="4470">
        <v>1000</v>
      </c>
      <c r="D52" s="4470">
        <f>C52</f>
        <v>1000</v>
      </c>
      <c r="E52" s="4470">
        <f t="shared" si="46"/>
        <v>0</v>
      </c>
      <c r="F52" s="4470"/>
      <c r="G52" s="4470"/>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71"/>
    </row>
    <row r="53" spans="1:30" s="2508" customFormat="1" ht="17.399999999999999">
      <c r="A53" s="4490" t="s">
        <v>37</v>
      </c>
      <c r="B53" s="4491" t="s">
        <v>38</v>
      </c>
      <c r="C53" s="4467">
        <f>C54+C56</f>
        <v>9256479</v>
      </c>
      <c r="D53" s="4467">
        <f t="shared" ref="D53:G53" si="47">D54+D56</f>
        <v>0</v>
      </c>
      <c r="E53" s="4467">
        <f t="shared" si="47"/>
        <v>9256479</v>
      </c>
      <c r="F53" s="4467">
        <f t="shared" si="47"/>
        <v>9256479</v>
      </c>
      <c r="G53" s="4467">
        <f t="shared" si="47"/>
        <v>0</v>
      </c>
      <c r="H53" s="4492">
        <f t="shared" ref="H53:S53" si="48">SUM(H54:H55)</f>
        <v>5623219.5</v>
      </c>
      <c r="I53" s="4493">
        <f t="shared" si="39"/>
        <v>60.749011584210365</v>
      </c>
      <c r="J53" s="4493">
        <f t="shared" si="48"/>
        <v>0</v>
      </c>
      <c r="K53" s="4493">
        <f t="shared" si="48"/>
        <v>5623219.5</v>
      </c>
      <c r="L53" s="4493">
        <f t="shared" si="48"/>
        <v>5623219.5</v>
      </c>
      <c r="M53" s="4493">
        <f t="shared" si="48"/>
        <v>0</v>
      </c>
      <c r="N53" s="4492">
        <f>SUM(N54:N55)</f>
        <v>5622235.5</v>
      </c>
      <c r="O53" s="4493">
        <f>N53/C53*100</f>
        <v>60.738381192243828</v>
      </c>
      <c r="P53" s="4493">
        <f t="shared" si="48"/>
        <v>0</v>
      </c>
      <c r="Q53" s="4493">
        <f t="shared" si="48"/>
        <v>5622235.5</v>
      </c>
      <c r="R53" s="4493">
        <f t="shared" si="48"/>
        <v>5622235.5</v>
      </c>
      <c r="S53" s="4493">
        <f t="shared" si="48"/>
        <v>0</v>
      </c>
      <c r="T53" s="4492">
        <f t="shared" si="14"/>
        <v>11245455</v>
      </c>
      <c r="U53" s="4493">
        <f t="shared" si="6"/>
        <v>121.4873927764542</v>
      </c>
      <c r="V53" s="4493">
        <f t="shared" si="10"/>
        <v>0</v>
      </c>
      <c r="W53" s="4493">
        <f t="shared" si="10"/>
        <v>11245455</v>
      </c>
      <c r="X53" s="4493">
        <f t="shared" si="10"/>
        <v>11245455</v>
      </c>
      <c r="Y53" s="4493">
        <f t="shared" si="10"/>
        <v>0</v>
      </c>
      <c r="Z53" s="4492">
        <f t="shared" si="11"/>
        <v>1988976</v>
      </c>
      <c r="AA53" s="4492">
        <f t="shared" si="12"/>
        <v>0</v>
      </c>
      <c r="AB53" s="4492">
        <f t="shared" si="12"/>
        <v>1988976</v>
      </c>
      <c r="AC53" s="4492">
        <f t="shared" si="12"/>
        <v>1988976</v>
      </c>
      <c r="AD53" s="4494">
        <f t="shared" si="12"/>
        <v>0</v>
      </c>
    </row>
    <row r="54" spans="1:30" s="2508" customFormat="1" ht="17.399999999999999">
      <c r="A54" s="4490" t="s">
        <v>3</v>
      </c>
      <c r="B54" s="4491" t="s">
        <v>39</v>
      </c>
      <c r="C54" s="4467">
        <f>'[2]Phụ lục số 1'!AE53</f>
        <v>6617188</v>
      </c>
      <c r="D54" s="4467"/>
      <c r="E54" s="4467">
        <f>SUM(F54:G54)</f>
        <v>6617188</v>
      </c>
      <c r="F54" s="4467">
        <f>'[2]Phụ lục số 1'!AI53</f>
        <v>6617188</v>
      </c>
      <c r="G54" s="4467"/>
      <c r="H54" s="4492">
        <f>C54*50%-244</f>
        <v>3308350</v>
      </c>
      <c r="I54" s="4493">
        <f t="shared" si="39"/>
        <v>49.996312633100345</v>
      </c>
      <c r="J54" s="4493"/>
      <c r="K54" s="4493">
        <f>H54</f>
        <v>3308350</v>
      </c>
      <c r="L54" s="4493">
        <f>K54</f>
        <v>3308350</v>
      </c>
      <c r="M54" s="4493"/>
      <c r="N54" s="4495">
        <f>C54-H54</f>
        <v>3308838</v>
      </c>
      <c r="O54" s="4493">
        <f>N54/C54*100</f>
        <v>50.003687366899655</v>
      </c>
      <c r="P54" s="4493"/>
      <c r="Q54" s="4493">
        <f>N54</f>
        <v>3308838</v>
      </c>
      <c r="R54" s="4493">
        <f>Q54</f>
        <v>3308838</v>
      </c>
      <c r="S54" s="4493"/>
      <c r="T54" s="4495">
        <f t="shared" si="14"/>
        <v>6617188</v>
      </c>
      <c r="U54" s="4493">
        <f t="shared" si="6"/>
        <v>100</v>
      </c>
      <c r="V54" s="4493">
        <f t="shared" si="10"/>
        <v>0</v>
      </c>
      <c r="W54" s="4493">
        <f t="shared" si="10"/>
        <v>6617188</v>
      </c>
      <c r="X54" s="4493">
        <f t="shared" si="10"/>
        <v>6617188</v>
      </c>
      <c r="Y54" s="4493">
        <f t="shared" si="10"/>
        <v>0</v>
      </c>
      <c r="Z54" s="4495">
        <f t="shared" si="11"/>
        <v>0</v>
      </c>
      <c r="AA54" s="4495">
        <f t="shared" si="12"/>
        <v>0</v>
      </c>
      <c r="AB54" s="4495">
        <f t="shared" si="12"/>
        <v>0</v>
      </c>
      <c r="AC54" s="4495">
        <f t="shared" si="12"/>
        <v>0</v>
      </c>
      <c r="AD54" s="4496">
        <f t="shared" si="12"/>
        <v>0</v>
      </c>
    </row>
    <row r="55" spans="1:30" s="2509" customFormat="1" ht="18" hidden="1">
      <c r="A55" s="4497"/>
      <c r="B55" s="4498" t="s">
        <v>40</v>
      </c>
      <c r="C55" s="4485">
        <f>'[2]Phụ lục số 1'!AE54</f>
        <v>129700</v>
      </c>
      <c r="D55" s="4485"/>
      <c r="E55" s="4485">
        <f>SUM(F55:G55)</f>
        <v>129700</v>
      </c>
      <c r="F55" s="4485">
        <f>C55</f>
        <v>129700</v>
      </c>
      <c r="G55" s="4485"/>
      <c r="H55" s="4499">
        <f>SUM(H56:H58)</f>
        <v>2314869.5</v>
      </c>
      <c r="I55" s="3892">
        <f t="shared" si="39"/>
        <v>1784.7875867386274</v>
      </c>
      <c r="J55" s="3892"/>
      <c r="K55" s="3892">
        <f>SUM(K56:K58)</f>
        <v>2314869.5</v>
      </c>
      <c r="L55" s="3892">
        <f>SUM(L56:L58)</f>
        <v>2314869.5</v>
      </c>
      <c r="M55" s="3892"/>
      <c r="N55" s="4499">
        <f>SUM(N56:N58)</f>
        <v>2313397.5</v>
      </c>
      <c r="O55" s="3892"/>
      <c r="P55" s="3892"/>
      <c r="Q55" s="3892">
        <f>SUM(Q56:Q58)</f>
        <v>2313397.5</v>
      </c>
      <c r="R55" s="3892">
        <f>SUM(R56:R58)</f>
        <v>2313397.5</v>
      </c>
      <c r="S55" s="3892"/>
      <c r="T55" s="4499">
        <f t="shared" si="14"/>
        <v>4628267</v>
      </c>
      <c r="U55" s="3892">
        <f t="shared" si="6"/>
        <v>3568.4402467232076</v>
      </c>
      <c r="V55" s="3892">
        <f t="shared" si="10"/>
        <v>0</v>
      </c>
      <c r="W55" s="3892">
        <f t="shared" si="10"/>
        <v>4628267</v>
      </c>
      <c r="X55" s="3892">
        <f t="shared" si="10"/>
        <v>4628267</v>
      </c>
      <c r="Y55" s="3892">
        <f t="shared" si="10"/>
        <v>0</v>
      </c>
      <c r="Z55" s="4499">
        <f t="shared" si="11"/>
        <v>4498567</v>
      </c>
      <c r="AA55" s="4499">
        <f t="shared" si="12"/>
        <v>0</v>
      </c>
      <c r="AB55" s="4499">
        <f t="shared" si="12"/>
        <v>4498567</v>
      </c>
      <c r="AC55" s="4499">
        <f t="shared" si="12"/>
        <v>4498567</v>
      </c>
      <c r="AD55" s="4500">
        <f t="shared" si="12"/>
        <v>0</v>
      </c>
    </row>
    <row r="56" spans="1:30" s="2508" customFormat="1" ht="17.399999999999999">
      <c r="A56" s="4490" t="s">
        <v>33</v>
      </c>
      <c r="B56" s="4491" t="s">
        <v>41</v>
      </c>
      <c r="C56" s="4467">
        <f>SUM(C57:C59)</f>
        <v>2639291</v>
      </c>
      <c r="D56" s="4467">
        <f t="shared" ref="D56:G56" si="49">SUM(D57:D59)</f>
        <v>0</v>
      </c>
      <c r="E56" s="4467">
        <f t="shared" si="49"/>
        <v>2639291</v>
      </c>
      <c r="F56" s="4467">
        <f t="shared" si="49"/>
        <v>2639291</v>
      </c>
      <c r="G56" s="4467">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01">
        <f t="shared" si="12"/>
        <v>0</v>
      </c>
    </row>
    <row r="57" spans="1:30" s="4505" customFormat="1" ht="36">
      <c r="A57" s="4472">
        <v>1</v>
      </c>
      <c r="B57" s="4498" t="s">
        <v>42</v>
      </c>
      <c r="C57" s="4502">
        <f>'[2]Phụ lục số 1'!AE56</f>
        <v>1814491</v>
      </c>
      <c r="D57" s="4502"/>
      <c r="E57" s="4502">
        <f>SUM(F57:G57)</f>
        <v>1814491</v>
      </c>
      <c r="F57" s="4502">
        <f>'[2]Phụ lục số 1'!AI56</f>
        <v>1814491</v>
      </c>
      <c r="G57" s="4502">
        <f>'[2]Phụ lục số 1'!AJ56</f>
        <v>0</v>
      </c>
      <c r="H57" s="4503">
        <f>INT(C57/2)+237</f>
        <v>907482</v>
      </c>
      <c r="I57" s="3889"/>
      <c r="J57" s="3889"/>
      <c r="K57" s="3889">
        <f t="shared" ref="K57" si="50">H57-J57</f>
        <v>907482</v>
      </c>
      <c r="L57" s="3889">
        <f>H57</f>
        <v>907482</v>
      </c>
      <c r="M57" s="3889"/>
      <c r="N57" s="4503">
        <f>C57-H57</f>
        <v>907009</v>
      </c>
      <c r="O57" s="3889"/>
      <c r="P57" s="3889"/>
      <c r="Q57" s="3889">
        <f>N57-P57</f>
        <v>907009</v>
      </c>
      <c r="R57" s="3889">
        <f>Q57-S57</f>
        <v>907009</v>
      </c>
      <c r="S57" s="3889"/>
      <c r="T57" s="4503">
        <f t="shared" si="14"/>
        <v>1814491</v>
      </c>
      <c r="U57" s="3889">
        <f t="shared" si="6"/>
        <v>100</v>
      </c>
      <c r="V57" s="3889">
        <f t="shared" si="10"/>
        <v>0</v>
      </c>
      <c r="W57" s="3889">
        <f t="shared" si="10"/>
        <v>1814491</v>
      </c>
      <c r="X57" s="3889">
        <f t="shared" si="10"/>
        <v>1814491</v>
      </c>
      <c r="Y57" s="3889">
        <f t="shared" si="10"/>
        <v>0</v>
      </c>
      <c r="Z57" s="4503">
        <f t="shared" si="11"/>
        <v>0</v>
      </c>
      <c r="AA57" s="4503">
        <f t="shared" si="12"/>
        <v>0</v>
      </c>
      <c r="AB57" s="4503">
        <f t="shared" si="12"/>
        <v>0</v>
      </c>
      <c r="AC57" s="4503">
        <f t="shared" si="12"/>
        <v>0</v>
      </c>
      <c r="AD57" s="4504">
        <f t="shared" si="12"/>
        <v>0</v>
      </c>
    </row>
    <row r="58" spans="1:30" s="4505" customFormat="1" ht="36">
      <c r="A58" s="4472">
        <v>2</v>
      </c>
      <c r="B58" s="4498" t="s">
        <v>43</v>
      </c>
      <c r="C58" s="4502">
        <f>'[2]Phụ lục số 1'!AE57</f>
        <v>174485</v>
      </c>
      <c r="D58" s="4502"/>
      <c r="E58" s="4502">
        <f t="shared" ref="E58:E61" si="51">SUM(F58:G58)</f>
        <v>174485</v>
      </c>
      <c r="F58" s="4502">
        <f>'[2]Phụ lục số 1'!AI57</f>
        <v>174485</v>
      </c>
      <c r="G58" s="4502">
        <f>'[2]Phụ lục số 1'!AJ57</f>
        <v>0</v>
      </c>
      <c r="H58" s="4503">
        <f>C58/2</f>
        <v>87242.5</v>
      </c>
      <c r="I58" s="3889"/>
      <c r="J58" s="3889"/>
      <c r="K58" s="3889">
        <f>H58-J58</f>
        <v>87242.5</v>
      </c>
      <c r="L58" s="3889">
        <f>H58</f>
        <v>87242.5</v>
      </c>
      <c r="M58" s="3889"/>
      <c r="N58" s="4503">
        <f>C58-H58</f>
        <v>87242.5</v>
      </c>
      <c r="O58" s="3889"/>
      <c r="P58" s="3889"/>
      <c r="Q58" s="3889">
        <f>N58-P58</f>
        <v>87242.5</v>
      </c>
      <c r="R58" s="3889">
        <f>N58</f>
        <v>87242.5</v>
      </c>
      <c r="S58" s="3889"/>
      <c r="T58" s="4503">
        <f t="shared" si="14"/>
        <v>174485</v>
      </c>
      <c r="U58" s="3889"/>
      <c r="V58" s="3889">
        <f t="shared" si="10"/>
        <v>0</v>
      </c>
      <c r="W58" s="3889">
        <f t="shared" si="10"/>
        <v>174485</v>
      </c>
      <c r="X58" s="3889">
        <f t="shared" si="10"/>
        <v>174485</v>
      </c>
      <c r="Y58" s="3889">
        <f t="shared" si="10"/>
        <v>0</v>
      </c>
      <c r="Z58" s="4503">
        <f t="shared" si="11"/>
        <v>0</v>
      </c>
      <c r="AA58" s="4503">
        <f t="shared" si="12"/>
        <v>0</v>
      </c>
      <c r="AB58" s="4503">
        <f t="shared" si="12"/>
        <v>0</v>
      </c>
      <c r="AC58" s="4503">
        <f t="shared" si="12"/>
        <v>0</v>
      </c>
      <c r="AD58" s="4504">
        <f t="shared" si="12"/>
        <v>0</v>
      </c>
    </row>
    <row r="59" spans="1:30" s="4505" customFormat="1" ht="18">
      <c r="A59" s="4472">
        <v>3</v>
      </c>
      <c r="B59" s="4498" t="s">
        <v>2400</v>
      </c>
      <c r="C59" s="4502">
        <f>'[2]Phụ lục số 1'!AE58</f>
        <v>650315</v>
      </c>
      <c r="D59" s="4502"/>
      <c r="E59" s="4502">
        <f t="shared" si="51"/>
        <v>650315</v>
      </c>
      <c r="F59" s="4502">
        <f>'[2]Phụ lục số 1'!AI58</f>
        <v>650315</v>
      </c>
      <c r="G59" s="4502">
        <f>'[2]Phụ lục số 1'!AJ58</f>
        <v>0</v>
      </c>
      <c r="H59" s="4495">
        <f>L59+M59</f>
        <v>0</v>
      </c>
      <c r="I59" s="4506"/>
      <c r="J59" s="4506">
        <v>0</v>
      </c>
      <c r="K59" s="4506">
        <f>H59-J59</f>
        <v>0</v>
      </c>
      <c r="L59" s="4506"/>
      <c r="M59" s="4506"/>
      <c r="N59" s="4495">
        <f>R59+S59</f>
        <v>179391</v>
      </c>
      <c r="O59" s="4506"/>
      <c r="P59" s="4506"/>
      <c r="Q59" s="4506">
        <f>N59</f>
        <v>179391</v>
      </c>
      <c r="R59" s="4506">
        <v>179391</v>
      </c>
      <c r="S59" s="4506">
        <f>ROUND(0,-1)</f>
        <v>0</v>
      </c>
      <c r="T59" s="4495">
        <f t="shared" si="14"/>
        <v>179391</v>
      </c>
      <c r="U59" s="4506">
        <f t="shared" si="6"/>
        <v>27.585247149458343</v>
      </c>
      <c r="V59" s="4506">
        <f t="shared" si="10"/>
        <v>0</v>
      </c>
      <c r="W59" s="4506">
        <f t="shared" si="10"/>
        <v>179391</v>
      </c>
      <c r="X59" s="4506">
        <f t="shared" si="10"/>
        <v>179391</v>
      </c>
      <c r="Y59" s="4506">
        <f t="shared" si="10"/>
        <v>0</v>
      </c>
      <c r="Z59" s="4495">
        <f t="shared" si="11"/>
        <v>-470924</v>
      </c>
      <c r="AA59" s="4495">
        <f t="shared" si="12"/>
        <v>0</v>
      </c>
      <c r="AB59" s="4495">
        <f t="shared" si="12"/>
        <v>-470924</v>
      </c>
      <c r="AC59" s="4495">
        <f t="shared" si="12"/>
        <v>-470924</v>
      </c>
      <c r="AD59" s="4496">
        <f t="shared" si="12"/>
        <v>0</v>
      </c>
    </row>
    <row r="60" spans="1:30" s="4507" customFormat="1" ht="17.399999999999999">
      <c r="A60" s="4490" t="s">
        <v>44</v>
      </c>
      <c r="B60" s="4491" t="s">
        <v>45</v>
      </c>
      <c r="C60" s="1464">
        <f>'[2]Phụ lục số 1'!AE59</f>
        <v>886000</v>
      </c>
      <c r="D60" s="1464"/>
      <c r="E60" s="1464">
        <f t="shared" si="51"/>
        <v>886000</v>
      </c>
      <c r="F60" s="1464">
        <f>'[2]Phụ lục số 1'!AI59</f>
        <v>0</v>
      </c>
      <c r="G60" s="1464">
        <f>'[2]Phụ lục số 1'!AJ59</f>
        <v>886000</v>
      </c>
      <c r="H60" s="4495">
        <f>L60+M60</f>
        <v>443000</v>
      </c>
      <c r="I60" s="4506"/>
      <c r="J60" s="4506">
        <v>0</v>
      </c>
      <c r="K60" s="4506">
        <f>H60-J60</f>
        <v>443000</v>
      </c>
      <c r="L60" s="4506">
        <f>INT(F60/2)</f>
        <v>0</v>
      </c>
      <c r="M60" s="4506">
        <f>INT(G60/2)</f>
        <v>443000</v>
      </c>
      <c r="N60" s="4495">
        <f>C60-H60</f>
        <v>443000</v>
      </c>
      <c r="O60" s="4506"/>
      <c r="P60" s="4506"/>
      <c r="Q60" s="4506">
        <f>R60+S60</f>
        <v>443000</v>
      </c>
      <c r="R60" s="4506">
        <f>F60-L60</f>
        <v>0</v>
      </c>
      <c r="S60" s="4506">
        <f>G60-M60</f>
        <v>443000</v>
      </c>
      <c r="T60" s="4495">
        <f t="shared" si="14"/>
        <v>886000</v>
      </c>
      <c r="U60" s="4506">
        <f t="shared" si="6"/>
        <v>100</v>
      </c>
      <c r="V60" s="4506">
        <f t="shared" si="10"/>
        <v>0</v>
      </c>
      <c r="W60" s="4506">
        <f t="shared" si="10"/>
        <v>886000</v>
      </c>
      <c r="X60" s="4506">
        <f t="shared" si="10"/>
        <v>0</v>
      </c>
      <c r="Y60" s="4506">
        <f t="shared" si="10"/>
        <v>886000</v>
      </c>
      <c r="Z60" s="4495">
        <f t="shared" si="11"/>
        <v>0</v>
      </c>
      <c r="AA60" s="4495">
        <f t="shared" si="12"/>
        <v>0</v>
      </c>
      <c r="AB60" s="4495">
        <f t="shared" si="12"/>
        <v>0</v>
      </c>
      <c r="AC60" s="4495">
        <f t="shared" si="12"/>
        <v>0</v>
      </c>
      <c r="AD60" s="4496">
        <f t="shared" si="12"/>
        <v>0</v>
      </c>
    </row>
    <row r="61" spans="1:30" s="4507" customFormat="1" ht="17.399999999999999">
      <c r="A61" s="4490" t="s">
        <v>46</v>
      </c>
      <c r="B61" s="4491" t="s">
        <v>47</v>
      </c>
      <c r="C61" s="1464">
        <f>'[2]Phụ lục số 1'!AE60</f>
        <v>0</v>
      </c>
      <c r="D61" s="1464"/>
      <c r="E61" s="1464">
        <f t="shared" si="51"/>
        <v>0</v>
      </c>
      <c r="F61" s="1464">
        <f>'[2]Phụ lục số 1'!AI60</f>
        <v>0</v>
      </c>
      <c r="G61" s="1464">
        <f>'[2]Phụ lục số 1'!AJ60</f>
        <v>0</v>
      </c>
      <c r="H61" s="4506"/>
      <c r="I61" s="4506"/>
      <c r="J61" s="4506"/>
      <c r="K61" s="4506">
        <f>H61-J61</f>
        <v>0</v>
      </c>
      <c r="L61" s="4506"/>
      <c r="M61" s="4506"/>
      <c r="N61" s="4506">
        <f>SUM(N8,N53,N59,N60)</f>
        <v>8929608.9000000004</v>
      </c>
      <c r="O61" s="4506"/>
      <c r="P61" s="4506">
        <f>SUM(P8,P53,P59,P60)</f>
        <v>312500</v>
      </c>
      <c r="Q61" s="4506">
        <f>SUM(Q8,Q53,Q59,Q60)</f>
        <v>8617108.9000000004</v>
      </c>
      <c r="R61" s="4506">
        <f>SUM(R8,R53,R59,R60)</f>
        <v>7733711.9000000004</v>
      </c>
      <c r="S61" s="4506">
        <f>SUM(S8,S53,S59,S60)</f>
        <v>883397</v>
      </c>
      <c r="T61" s="4506">
        <f t="shared" si="14"/>
        <v>8929608.9000000004</v>
      </c>
      <c r="U61" s="4506" t="e">
        <f t="shared" si="6"/>
        <v>#DIV/0!</v>
      </c>
      <c r="V61" s="4506">
        <f t="shared" si="10"/>
        <v>312500</v>
      </c>
      <c r="W61" s="4506">
        <f t="shared" si="10"/>
        <v>8617108.9000000004</v>
      </c>
      <c r="X61" s="4506">
        <f t="shared" si="10"/>
        <v>7733711.9000000004</v>
      </c>
      <c r="Y61" s="4506">
        <f t="shared" si="10"/>
        <v>883397</v>
      </c>
      <c r="Z61" s="4506">
        <f t="shared" si="11"/>
        <v>8929608.9000000004</v>
      </c>
      <c r="AA61" s="4506">
        <f t="shared" si="12"/>
        <v>312500</v>
      </c>
      <c r="AB61" s="4506">
        <f t="shared" si="12"/>
        <v>8617108.9000000004</v>
      </c>
      <c r="AC61" s="4506">
        <f t="shared" si="12"/>
        <v>7733711.9000000004</v>
      </c>
      <c r="AD61" s="4508">
        <f t="shared" si="12"/>
        <v>883397</v>
      </c>
    </row>
    <row r="62" spans="1:30" s="2423" customFormat="1" ht="18" thickBot="1">
      <c r="A62" s="4509"/>
      <c r="B62" s="4510" t="s">
        <v>48</v>
      </c>
      <c r="C62" s="4511">
        <f>C8+C53+C60+C61</f>
        <v>19408479</v>
      </c>
      <c r="D62" s="4511">
        <f t="shared" ref="D62:N62" si="52">D8+D53+D60+D61</f>
        <v>781100</v>
      </c>
      <c r="E62" s="4511">
        <f t="shared" si="52"/>
        <v>18627409</v>
      </c>
      <c r="F62" s="4511">
        <f t="shared" si="52"/>
        <v>13802329</v>
      </c>
      <c r="G62" s="4511">
        <f t="shared" si="52"/>
        <v>4825080</v>
      </c>
      <c r="H62" s="4512">
        <f t="shared" si="52"/>
        <v>10352960.9</v>
      </c>
      <c r="I62" s="4513"/>
      <c r="J62" s="4512">
        <f t="shared" si="52"/>
        <v>589000</v>
      </c>
      <c r="K62" s="4512">
        <f t="shared" si="52"/>
        <v>9763960.9000000004</v>
      </c>
      <c r="L62" s="4512">
        <f t="shared" si="52"/>
        <v>7590930.9000000004</v>
      </c>
      <c r="M62" s="4512">
        <f t="shared" si="52"/>
        <v>2173030</v>
      </c>
      <c r="N62" s="4512">
        <f t="shared" si="52"/>
        <v>17679826.800000001</v>
      </c>
      <c r="O62" s="4513"/>
      <c r="P62" s="4512">
        <f t="shared" ref="P62:T62" si="53">P8+P53+P60+P61</f>
        <v>625000</v>
      </c>
      <c r="Q62" s="4512">
        <f t="shared" si="53"/>
        <v>17054826.800000001</v>
      </c>
      <c r="R62" s="4512">
        <f t="shared" si="53"/>
        <v>15288032.800000001</v>
      </c>
      <c r="S62" s="4512">
        <f t="shared" si="53"/>
        <v>1766794</v>
      </c>
      <c r="T62" s="4512">
        <f t="shared" si="53"/>
        <v>28032787.700000003</v>
      </c>
      <c r="U62" s="4513"/>
      <c r="V62" s="4512">
        <f t="shared" ref="V62:AD62" si="54">V8+V53+V60+V61</f>
        <v>1214000</v>
      </c>
      <c r="W62" s="4512">
        <f t="shared" si="54"/>
        <v>26818787.700000003</v>
      </c>
      <c r="X62" s="4512">
        <f t="shared" si="54"/>
        <v>22878963.700000003</v>
      </c>
      <c r="Y62" s="4512">
        <f t="shared" si="54"/>
        <v>3939824</v>
      </c>
      <c r="Z62" s="4512">
        <f t="shared" si="54"/>
        <v>8624308.7000000011</v>
      </c>
      <c r="AA62" s="4512">
        <f t="shared" si="54"/>
        <v>432900</v>
      </c>
      <c r="AB62" s="4512">
        <f t="shared" si="54"/>
        <v>8191378.7000000002</v>
      </c>
      <c r="AC62" s="4512">
        <f t="shared" si="54"/>
        <v>9076634.6999999993</v>
      </c>
      <c r="AD62" s="4514">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541" t="s">
        <v>136</v>
      </c>
      <c r="B4" s="6722" t="s">
        <v>1893</v>
      </c>
      <c r="C4" s="6722" t="s">
        <v>50</v>
      </c>
      <c r="D4" s="6722"/>
      <c r="E4" s="6722"/>
      <c r="F4" s="6722" t="s">
        <v>2842</v>
      </c>
      <c r="G4" s="6722"/>
      <c r="H4" s="6722"/>
      <c r="I4" s="6722"/>
      <c r="J4" s="6722"/>
      <c r="K4" s="6722" t="s">
        <v>2843</v>
      </c>
      <c r="L4" s="6722"/>
      <c r="M4" s="6722"/>
      <c r="N4" s="6722"/>
      <c r="O4" s="6722"/>
      <c r="P4" s="6722" t="s">
        <v>2839</v>
      </c>
      <c r="Q4" s="6722"/>
      <c r="R4" s="6722"/>
      <c r="S4" s="6722"/>
      <c r="T4" s="6722"/>
      <c r="U4" s="6722" t="s">
        <v>2844</v>
      </c>
      <c r="V4" s="6722"/>
      <c r="W4" s="6730"/>
    </row>
    <row r="5" spans="1:23" ht="52.2">
      <c r="A5" s="6542"/>
      <c r="B5" s="6046"/>
      <c r="C5" s="584" t="s">
        <v>1903</v>
      </c>
      <c r="D5" s="430" t="s">
        <v>1904</v>
      </c>
      <c r="E5" s="430" t="s">
        <v>1905</v>
      </c>
      <c r="F5" s="584" t="s">
        <v>1903</v>
      </c>
      <c r="G5" s="584" t="s">
        <v>69</v>
      </c>
      <c r="H5" s="584" t="s">
        <v>1908</v>
      </c>
      <c r="I5" s="430" t="s">
        <v>1904</v>
      </c>
      <c r="J5" s="430" t="s">
        <v>1905</v>
      </c>
      <c r="K5" s="584" t="s">
        <v>1903</v>
      </c>
      <c r="L5" s="584" t="s">
        <v>69</v>
      </c>
      <c r="M5" s="584" t="str">
        <f>H5</f>
        <v>% so với DT 2024</v>
      </c>
      <c r="N5" s="430" t="s">
        <v>1904</v>
      </c>
      <c r="O5" s="430" t="s">
        <v>1905</v>
      </c>
      <c r="P5" s="584" t="s">
        <v>1903</v>
      </c>
      <c r="Q5" s="584" t="s">
        <v>69</v>
      </c>
      <c r="R5" s="584" t="str">
        <f>M5</f>
        <v>% so với DT 2024</v>
      </c>
      <c r="S5" s="430" t="s">
        <v>1904</v>
      </c>
      <c r="T5" s="430" t="s">
        <v>1905</v>
      </c>
      <c r="U5" s="584" t="s">
        <v>1903</v>
      </c>
      <c r="V5" s="430" t="s">
        <v>1904</v>
      </c>
      <c r="W5" s="585" t="s">
        <v>1905</v>
      </c>
    </row>
    <row r="6" spans="1:23">
      <c r="A6" s="4515">
        <v>1</v>
      </c>
      <c r="B6" s="4204">
        <v>2</v>
      </c>
      <c r="C6" s="2239">
        <v>3</v>
      </c>
      <c r="D6" s="2239">
        <v>4</v>
      </c>
      <c r="E6" s="2239">
        <v>5</v>
      </c>
      <c r="F6" s="4205" t="s">
        <v>1909</v>
      </c>
      <c r="G6" s="4204">
        <v>7</v>
      </c>
      <c r="H6" s="4205" t="s">
        <v>1910</v>
      </c>
      <c r="I6" s="4204">
        <v>9</v>
      </c>
      <c r="J6" s="4205">
        <v>10</v>
      </c>
      <c r="K6" s="4205" t="s">
        <v>1911</v>
      </c>
      <c r="L6" s="4204">
        <v>12</v>
      </c>
      <c r="M6" s="4205" t="s">
        <v>1912</v>
      </c>
      <c r="N6" s="4204">
        <v>14</v>
      </c>
      <c r="O6" s="4205">
        <v>15</v>
      </c>
      <c r="P6" s="4205"/>
      <c r="Q6" s="4204"/>
      <c r="R6" s="4205"/>
      <c r="S6" s="4204"/>
      <c r="T6" s="4205"/>
      <c r="U6" s="4205"/>
      <c r="V6" s="4204"/>
      <c r="W6" s="4516"/>
    </row>
    <row r="7" spans="1:23" s="588" customFormat="1" ht="17.399999999999999">
      <c r="A7" s="4517"/>
      <c r="B7" s="4518" t="s">
        <v>2845</v>
      </c>
      <c r="C7" s="2905">
        <f>C8+C35+C39</f>
        <v>18627408.915999997</v>
      </c>
      <c r="D7" s="2905">
        <f t="shared" ref="D7:E7" si="0">D8+D35+D39</f>
        <v>8719005.568</v>
      </c>
      <c r="E7" s="2905">
        <f t="shared" si="0"/>
        <v>9908403.3479999993</v>
      </c>
      <c r="F7" s="694">
        <f>F8+F35+F39</f>
        <v>8948500.2044849377</v>
      </c>
      <c r="G7" s="718">
        <f>F7/$F$7*100</f>
        <v>100</v>
      </c>
      <c r="H7" s="4519">
        <f t="shared" ref="H7:H12" si="1">F7/C7%</f>
        <v>48.039425369561897</v>
      </c>
      <c r="I7" s="694">
        <f>I8+I35+I39</f>
        <v>4313601</v>
      </c>
      <c r="J7" s="694">
        <f>J8+J35+J39</f>
        <v>4634899.2044849377</v>
      </c>
      <c r="K7" s="718">
        <f>SUM(K8,K32,K35)</f>
        <v>4079141.7488039802</v>
      </c>
      <c r="L7" s="718">
        <f t="shared" ref="L7:L16" si="2">K7/$K$7*100</f>
        <v>100</v>
      </c>
      <c r="M7" s="4520">
        <f>K7/C7%</f>
        <v>21.898599892227654</v>
      </c>
      <c r="N7" s="718">
        <f>SUM(N8,N32,N35)</f>
        <v>2464066</v>
      </c>
      <c r="O7" s="718">
        <f>SUM(O8,O32,O35)</f>
        <v>1050575.7488039802</v>
      </c>
      <c r="P7" s="718">
        <f>K7+F7</f>
        <v>13027641.953288918</v>
      </c>
      <c r="Q7" s="718">
        <f>P7/$P$7*100</f>
        <v>100</v>
      </c>
      <c r="R7" s="4519">
        <f>P7/C7*100</f>
        <v>69.938025261789562</v>
      </c>
      <c r="S7" s="718">
        <f t="shared" ref="S7:T22" si="3">N7+I7</f>
        <v>6777667</v>
      </c>
      <c r="T7" s="718">
        <f t="shared" si="3"/>
        <v>5685474.9532889184</v>
      </c>
      <c r="U7" s="718">
        <f>P7-C7</f>
        <v>-5599766.962711079</v>
      </c>
      <c r="V7" s="718">
        <f>S7-D7</f>
        <v>-1941338.568</v>
      </c>
      <c r="W7" s="4457">
        <f>T7-E7</f>
        <v>-4222928.3947110809</v>
      </c>
    </row>
    <row r="8" spans="1:23" s="588" customFormat="1" ht="17.399999999999999">
      <c r="A8" s="4521" t="s">
        <v>1</v>
      </c>
      <c r="B8" s="4522"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23">
        <f t="shared" si="1"/>
        <v>47.805056189132635</v>
      </c>
      <c r="I8" s="701">
        <f>I9+I15+I29+I30+I31+I32+I33+I34</f>
        <v>3319113</v>
      </c>
      <c r="J8" s="701">
        <f>J9+J15+J29+J30+J31+J32+J33+J34</f>
        <v>4634899.2044849377</v>
      </c>
      <c r="K8" s="719">
        <f>SUM(K9,K14,K28:K31)</f>
        <v>2520153.7488039802</v>
      </c>
      <c r="L8" s="719">
        <f t="shared" si="2"/>
        <v>61.781470318919382</v>
      </c>
      <c r="M8" s="4523">
        <f>K8/C8%</f>
        <v>15.146581180614238</v>
      </c>
      <c r="N8" s="719">
        <f>SUM(N9,N14,N28:N31)</f>
        <v>1469578</v>
      </c>
      <c r="O8" s="719">
        <f>SUM(O9,O14,O28:O31)</f>
        <v>1050575.7488039802</v>
      </c>
      <c r="P8" s="719">
        <f t="shared" ref="P8:P32" si="5">K8+F8</f>
        <v>10474165.953288918</v>
      </c>
      <c r="Q8" s="719">
        <f t="shared" ref="Q8:Q35" si="6">P8/$P$7*100</f>
        <v>80.399553432957546</v>
      </c>
      <c r="R8" s="4524">
        <f t="shared" ref="R8:R35" si="7">P8/C8*100</f>
        <v>62.951637369746869</v>
      </c>
      <c r="S8" s="719">
        <f t="shared" si="3"/>
        <v>4788691</v>
      </c>
      <c r="T8" s="719">
        <f t="shared" si="3"/>
        <v>5685474.9532889184</v>
      </c>
      <c r="U8" s="719">
        <f t="shared" ref="U8:U34" si="8">P8-C8</f>
        <v>-6164266.962711079</v>
      </c>
      <c r="V8" s="719">
        <f t="shared" ref="V8:W36" si="9">S8-D8</f>
        <v>-1941338.568</v>
      </c>
      <c r="W8" s="4460">
        <f t="shared" si="9"/>
        <v>-4222928.3947110809</v>
      </c>
    </row>
    <row r="9" spans="1:23" s="380" customFormat="1" ht="17.399999999999999">
      <c r="A9" s="4525" t="s">
        <v>3</v>
      </c>
      <c r="B9" s="4466" t="s">
        <v>1680</v>
      </c>
      <c r="C9" s="2904">
        <f>SUM(C10:C14)</f>
        <v>4923186.4089698764</v>
      </c>
      <c r="D9" s="2904">
        <f t="shared" ref="D9:E9" si="10">SUM(D10:D14)</f>
        <v>3199186</v>
      </c>
      <c r="E9" s="2904">
        <f t="shared" si="10"/>
        <v>1724000.4089698761</v>
      </c>
      <c r="F9" s="3865">
        <f>SUM(F10:F14)</f>
        <v>2491593.2044849382</v>
      </c>
      <c r="G9" s="2281">
        <f t="shared" ref="G9:G16" si="11">F9/$F$7*100</f>
        <v>27.843696122800171</v>
      </c>
      <c r="H9" s="4526">
        <f t="shared" si="1"/>
        <v>50.609361448214536</v>
      </c>
      <c r="I9" s="3865">
        <f>SUM(I10:I14)</f>
        <v>1629593</v>
      </c>
      <c r="J9" s="3865">
        <f>SUM(J10:J14)</f>
        <v>862000.20448493806</v>
      </c>
      <c r="K9" s="2281">
        <f t="shared" ref="K9" si="12">SUM(K10:K13)</f>
        <v>2262367.2044849382</v>
      </c>
      <c r="L9" s="2281">
        <f t="shared" si="2"/>
        <v>55.461843294567359</v>
      </c>
      <c r="M9" s="4527">
        <f>K9/C9%</f>
        <v>45.953311870600366</v>
      </c>
      <c r="N9" s="2281">
        <f>SUM(N10:N13)</f>
        <v>1469578</v>
      </c>
      <c r="O9" s="2281">
        <f t="shared" ref="O9:P9" si="13">SUM(O10:O13)</f>
        <v>792789.20448493806</v>
      </c>
      <c r="P9" s="2281">
        <f t="shared" si="13"/>
        <v>4693960.4089698764</v>
      </c>
      <c r="Q9" s="2281">
        <f t="shared" si="6"/>
        <v>36.030775375929437</v>
      </c>
      <c r="R9" s="4526">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28">
        <v>1</v>
      </c>
      <c r="B10" s="4132" t="s">
        <v>143</v>
      </c>
      <c r="C10" s="4436">
        <f>SUM(D10:E10)</f>
        <v>1143186.4089698761</v>
      </c>
      <c r="D10" s="4436">
        <f>'[2]Phụ lục số 2'!AA10</f>
        <v>562186</v>
      </c>
      <c r="E10" s="4436">
        <f>'[2]Phụ lục số 2'!AB10</f>
        <v>581000.40896987612</v>
      </c>
      <c r="F10" s="2275">
        <f>SUM(I10,J10)</f>
        <v>571593.20448493806</v>
      </c>
      <c r="G10" s="2275">
        <f>F10/$F$7*100</f>
        <v>6.3875866505367984</v>
      </c>
      <c r="H10" s="4529">
        <f t="shared" si="1"/>
        <v>50</v>
      </c>
      <c r="I10" s="2275">
        <f>D10*50%</f>
        <v>281093</v>
      </c>
      <c r="J10" s="2275">
        <f>E10*50%</f>
        <v>290500.20448493806</v>
      </c>
      <c r="K10" s="2275">
        <f>SUM(N10,O10)</f>
        <v>571593.20448493806</v>
      </c>
      <c r="L10" s="2275">
        <f t="shared" si="2"/>
        <v>14.01258499174566</v>
      </c>
      <c r="M10" s="4529">
        <f>K10/C10%</f>
        <v>50</v>
      </c>
      <c r="N10" s="2275">
        <f>(D10)-I10</f>
        <v>281093</v>
      </c>
      <c r="O10" s="2275">
        <f>(E10)-J10</f>
        <v>290500.20448493806</v>
      </c>
      <c r="P10" s="2275">
        <f t="shared" si="5"/>
        <v>1143186.4089698761</v>
      </c>
      <c r="Q10" s="2275">
        <f t="shared" si="6"/>
        <v>8.775083112268609</v>
      </c>
      <c r="R10" s="4529">
        <f t="shared" si="7"/>
        <v>100</v>
      </c>
      <c r="S10" s="2275">
        <f t="shared" si="3"/>
        <v>562186</v>
      </c>
      <c r="T10" s="2275">
        <f t="shared" si="3"/>
        <v>581000.40896987612</v>
      </c>
      <c r="U10" s="2275">
        <f t="shared" si="8"/>
        <v>0</v>
      </c>
      <c r="V10" s="2275">
        <f t="shared" si="9"/>
        <v>0</v>
      </c>
      <c r="W10" s="4360">
        <f t="shared" si="9"/>
        <v>0</v>
      </c>
    </row>
    <row r="11" spans="1:23" s="596" customFormat="1">
      <c r="A11" s="4528">
        <v>2</v>
      </c>
      <c r="B11" s="4132" t="s">
        <v>144</v>
      </c>
      <c r="C11" s="4436">
        <f t="shared" ref="C11:C14" si="15">SUM(D11:E11)</f>
        <v>1770000</v>
      </c>
      <c r="D11" s="4436">
        <f>'[2]Phụ lục số 2'!AA11</f>
        <v>627000</v>
      </c>
      <c r="E11" s="4436">
        <f>'[2]Phụ lục số 2'!AB11</f>
        <v>1143000</v>
      </c>
      <c r="F11" s="2275">
        <f>SUM(I11,J11)</f>
        <v>885000</v>
      </c>
      <c r="G11" s="2275">
        <f>F11/$F$7*100</f>
        <v>9.8899254598713995</v>
      </c>
      <c r="H11" s="4529">
        <f t="shared" si="1"/>
        <v>50</v>
      </c>
      <c r="I11" s="2275">
        <f t="shared" ref="I11:J14" si="16">D11*50%</f>
        <v>313500</v>
      </c>
      <c r="J11" s="2275">
        <f t="shared" si="16"/>
        <v>571500</v>
      </c>
      <c r="K11" s="2275">
        <f>SUM(N11,O11)</f>
        <v>591289</v>
      </c>
      <c r="L11" s="2275">
        <f t="shared" si="2"/>
        <v>14.495426646386294</v>
      </c>
      <c r="M11" s="4529">
        <f>K11/C11%</f>
        <v>33.406158192090395</v>
      </c>
      <c r="N11" s="2276">
        <f>'[38]Thu NSNN'!R40</f>
        <v>89000</v>
      </c>
      <c r="O11" s="2276">
        <f>'[38]Thu NSNN'!S40+200000</f>
        <v>502289</v>
      </c>
      <c r="P11" s="2275">
        <f t="shared" si="5"/>
        <v>1476289</v>
      </c>
      <c r="Q11" s="2275">
        <f t="shared" si="6"/>
        <v>11.331974007984618</v>
      </c>
      <c r="R11" s="4529">
        <f t="shared" si="7"/>
        <v>83.406158192090402</v>
      </c>
      <c r="S11" s="2275">
        <f t="shared" si="3"/>
        <v>402500</v>
      </c>
      <c r="T11" s="2275">
        <f t="shared" si="3"/>
        <v>1073789</v>
      </c>
      <c r="U11" s="2275">
        <f t="shared" si="8"/>
        <v>-293711</v>
      </c>
      <c r="V11" s="2275">
        <f t="shared" si="9"/>
        <v>-224500</v>
      </c>
      <c r="W11" s="4360">
        <f t="shared" si="9"/>
        <v>-69211</v>
      </c>
    </row>
    <row r="12" spans="1:23" s="596" customFormat="1">
      <c r="A12" s="4528">
        <v>3</v>
      </c>
      <c r="B12" s="4132" t="s">
        <v>145</v>
      </c>
      <c r="C12" s="4436">
        <f t="shared" si="15"/>
        <v>1950000</v>
      </c>
      <c r="D12" s="4436">
        <f>'[2]Phụ lục số 2'!AA12</f>
        <v>1950000</v>
      </c>
      <c r="E12" s="4436">
        <f>'[2]Phụ lục số 2'!AB12</f>
        <v>0</v>
      </c>
      <c r="F12" s="2275">
        <f t="shared" ref="F12:F14" si="17">SUM(I12,J12)</f>
        <v>975000</v>
      </c>
      <c r="G12" s="2275">
        <f>F12/$F$7*100</f>
        <v>10.895680591383744</v>
      </c>
      <c r="H12" s="4529">
        <f t="shared" si="1"/>
        <v>50</v>
      </c>
      <c r="I12" s="2275">
        <f t="shared" si="16"/>
        <v>975000</v>
      </c>
      <c r="J12" s="2275">
        <f t="shared" si="16"/>
        <v>0</v>
      </c>
      <c r="K12" s="2275">
        <f>SUM(N12,O12)</f>
        <v>1099485</v>
      </c>
      <c r="L12" s="2275"/>
      <c r="M12" s="4529"/>
      <c r="N12" s="2276">
        <f>'[38]Thu NSNN'!R48+400000</f>
        <v>1099485</v>
      </c>
      <c r="O12" s="2276">
        <f>'[38]Thu NSNN'!S48</f>
        <v>0</v>
      </c>
      <c r="P12" s="2275">
        <f t="shared" si="5"/>
        <v>2074485</v>
      </c>
      <c r="Q12" s="2275">
        <f t="shared" si="6"/>
        <v>15.923718255676208</v>
      </c>
      <c r="R12" s="4529">
        <f t="shared" si="7"/>
        <v>106.38384615384615</v>
      </c>
      <c r="S12" s="2275">
        <f t="shared" si="3"/>
        <v>2074485</v>
      </c>
      <c r="T12" s="2275">
        <f t="shared" si="3"/>
        <v>0</v>
      </c>
      <c r="U12" s="2275">
        <f t="shared" si="8"/>
        <v>124485</v>
      </c>
      <c r="V12" s="2275">
        <f t="shared" si="9"/>
        <v>124485</v>
      </c>
      <c r="W12" s="4360">
        <f t="shared" si="9"/>
        <v>0</v>
      </c>
    </row>
    <row r="13" spans="1:23" s="596" customFormat="1" ht="36">
      <c r="A13" s="4528">
        <v>4</v>
      </c>
      <c r="B13" s="4132" t="s">
        <v>146</v>
      </c>
      <c r="C13" s="4436">
        <f t="shared" si="15"/>
        <v>0</v>
      </c>
      <c r="D13" s="4436">
        <f>'[2]Phụ lục số 2'!AA13</f>
        <v>0</v>
      </c>
      <c r="E13" s="4436">
        <f>'[2]Phụ lục số 2'!AB13</f>
        <v>0</v>
      </c>
      <c r="F13" s="2275">
        <f t="shared" si="17"/>
        <v>0</v>
      </c>
      <c r="G13" s="2275"/>
      <c r="H13" s="4529"/>
      <c r="I13" s="2275">
        <f t="shared" si="16"/>
        <v>0</v>
      </c>
      <c r="J13" s="2275">
        <f t="shared" si="16"/>
        <v>0</v>
      </c>
      <c r="K13" s="2275">
        <f>SUM(N13,O13)</f>
        <v>0</v>
      </c>
      <c r="L13" s="2275"/>
      <c r="M13" s="4529"/>
      <c r="N13" s="2276">
        <f>'[38]Thu NSNN'!R46</f>
        <v>0</v>
      </c>
      <c r="O13" s="2276">
        <f>'[38]Thu NSNN'!S46</f>
        <v>0</v>
      </c>
      <c r="P13" s="2275">
        <f t="shared" si="5"/>
        <v>0</v>
      </c>
      <c r="Q13" s="2275"/>
      <c r="R13" s="4529"/>
      <c r="S13" s="2275">
        <f t="shared" si="3"/>
        <v>0</v>
      </c>
      <c r="T13" s="2275">
        <f t="shared" si="3"/>
        <v>0</v>
      </c>
      <c r="U13" s="2275"/>
      <c r="V13" s="2275">
        <f t="shared" si="9"/>
        <v>0</v>
      </c>
      <c r="W13" s="4360">
        <f t="shared" si="9"/>
        <v>0</v>
      </c>
    </row>
    <row r="14" spans="1:23" s="596" customFormat="1" ht="36">
      <c r="A14" s="4528">
        <v>5</v>
      </c>
      <c r="B14" s="4132" t="s">
        <v>2846</v>
      </c>
      <c r="C14" s="4436">
        <f t="shared" si="15"/>
        <v>60000</v>
      </c>
      <c r="D14" s="4436">
        <f>'[2]Phụ lục số 2'!AA14</f>
        <v>60000</v>
      </c>
      <c r="E14" s="4436">
        <f>'[2]Phụ lục số 2'!AB14</f>
        <v>0</v>
      </c>
      <c r="F14" s="2275">
        <f t="shared" si="17"/>
        <v>60000</v>
      </c>
      <c r="G14" s="2281">
        <f t="shared" si="11"/>
        <v>0.67050342100823046</v>
      </c>
      <c r="H14" s="4526">
        <v>100</v>
      </c>
      <c r="I14" s="2275">
        <f>D14*100%</f>
        <v>60000</v>
      </c>
      <c r="J14" s="2275">
        <f t="shared" si="16"/>
        <v>0</v>
      </c>
      <c r="K14" s="2275">
        <f>SUM(N14,O14)</f>
        <v>0</v>
      </c>
      <c r="L14" s="2281">
        <f t="shared" si="2"/>
        <v>0</v>
      </c>
      <c r="M14" s="4526">
        <f t="shared" ref="M14:M20" si="18">K14/C14%</f>
        <v>0</v>
      </c>
      <c r="N14" s="2287">
        <f>D14-I14</f>
        <v>0</v>
      </c>
      <c r="O14" s="2287">
        <f>E14-J14</f>
        <v>0</v>
      </c>
      <c r="P14" s="2281">
        <f t="shared" si="5"/>
        <v>60000</v>
      </c>
      <c r="Q14" s="2281">
        <f t="shared" si="6"/>
        <v>0.46055917268168844</v>
      </c>
      <c r="R14" s="4526">
        <f t="shared" si="7"/>
        <v>100</v>
      </c>
      <c r="S14" s="2281">
        <f>N14+I14</f>
        <v>60000</v>
      </c>
      <c r="T14" s="2281">
        <f t="shared" si="3"/>
        <v>0</v>
      </c>
      <c r="U14" s="2281">
        <f t="shared" si="8"/>
        <v>0</v>
      </c>
      <c r="V14" s="2281">
        <f t="shared" si="9"/>
        <v>0</v>
      </c>
      <c r="W14" s="4361">
        <f t="shared" si="9"/>
        <v>0</v>
      </c>
    </row>
    <row r="15" spans="1:23" s="2257" customFormat="1" ht="17.399999999999999">
      <c r="A15" s="4530" t="s">
        <v>33</v>
      </c>
      <c r="B15" s="4531" t="s">
        <v>151</v>
      </c>
      <c r="C15" s="4532">
        <f>SUM(C16,C17,C18,C26,C27,C2,C28)</f>
        <v>10664978.394711081</v>
      </c>
      <c r="D15" s="4532">
        <f t="shared" ref="D15:E15" si="19">SUM(D16,D17,D18,D26,D27,D2,D28)</f>
        <v>3294440</v>
      </c>
      <c r="E15" s="4532">
        <f t="shared" si="19"/>
        <v>7370538.3947110809</v>
      </c>
      <c r="F15" s="2261">
        <f>(I15+J15)</f>
        <v>5332117</v>
      </c>
      <c r="G15" s="2261">
        <f t="shared" si="11"/>
        <v>59.586711495269043</v>
      </c>
      <c r="H15" s="4533">
        <f t="shared" ref="H15" si="20">F15/C15%</f>
        <v>49.996510097425741</v>
      </c>
      <c r="I15" s="2261">
        <f>INT(D15/2)-200</f>
        <v>1647020</v>
      </c>
      <c r="J15" s="2261">
        <f>INT(E15/2)-172</f>
        <v>3685097</v>
      </c>
      <c r="K15" s="2261">
        <f>N15+O15</f>
        <v>5361226.3947110809</v>
      </c>
      <c r="L15" s="2261">
        <f t="shared" si="2"/>
        <v>131.43025481482749</v>
      </c>
      <c r="M15" s="4533">
        <f t="shared" si="18"/>
        <v>50.269453873153566</v>
      </c>
      <c r="N15" s="2261">
        <f>D15-I15</f>
        <v>1647420</v>
      </c>
      <c r="O15" s="2261">
        <f>(E15-J15)+28365</f>
        <v>3713806.3947110809</v>
      </c>
      <c r="P15" s="2261">
        <f t="shared" si="5"/>
        <v>10693343.394711081</v>
      </c>
      <c r="Q15" s="2261">
        <f t="shared" si="6"/>
        <v>82.081956451155563</v>
      </c>
      <c r="R15" s="4534">
        <f t="shared" si="7"/>
        <v>100.26596397057932</v>
      </c>
      <c r="S15" s="2261">
        <f>N15+I15</f>
        <v>3294440</v>
      </c>
      <c r="T15" s="2261">
        <f t="shared" si="3"/>
        <v>7398903.3947110809</v>
      </c>
      <c r="U15" s="2261">
        <f t="shared" si="8"/>
        <v>28365</v>
      </c>
      <c r="V15" s="2261">
        <f t="shared" si="9"/>
        <v>0</v>
      </c>
      <c r="W15" s="4464">
        <f t="shared" si="9"/>
        <v>28365</v>
      </c>
    </row>
    <row r="16" spans="1:23" s="380" customFormat="1" ht="17.399999999999999">
      <c r="A16" s="4535">
        <v>1</v>
      </c>
      <c r="B16" s="4481" t="s">
        <v>2847</v>
      </c>
      <c r="C16" s="2904">
        <f>SUM(D16:E16)</f>
        <v>2068978.6115313373</v>
      </c>
      <c r="D16" s="2904">
        <f>'[2]Phụ lục số 2'!AA16</f>
        <v>545710</v>
      </c>
      <c r="E16" s="2904">
        <f>'[2]Phụ lục số 2'!AB16</f>
        <v>1523268.6115313373</v>
      </c>
      <c r="F16" s="2281">
        <f>I16+J16</f>
        <v>1034489.3057656686</v>
      </c>
      <c r="G16" s="2281">
        <f t="shared" si="11"/>
        <v>11.560476975205168</v>
      </c>
      <c r="H16" s="4526">
        <f>F16/C16%</f>
        <v>50.000000000000007</v>
      </c>
      <c r="I16" s="2281">
        <f>D16*50%</f>
        <v>272855</v>
      </c>
      <c r="J16" s="2281">
        <f>E16*50%</f>
        <v>761634.30576566863</v>
      </c>
      <c r="K16" s="2281">
        <f>N16+O16</f>
        <v>1034489.3057656686</v>
      </c>
      <c r="L16" s="2281">
        <f t="shared" si="2"/>
        <v>25.360464761220541</v>
      </c>
      <c r="M16" s="4526">
        <f t="shared" si="18"/>
        <v>50.000000000000007</v>
      </c>
      <c r="N16" s="2281">
        <f>D16-I16</f>
        <v>272855</v>
      </c>
      <c r="O16" s="2281">
        <f>E16-J16</f>
        <v>761634.30576566863</v>
      </c>
      <c r="P16" s="2281">
        <f t="shared" si="5"/>
        <v>2068978.6115313373</v>
      </c>
      <c r="Q16" s="2281">
        <f t="shared" si="6"/>
        <v>15.881451293716353</v>
      </c>
      <c r="R16" s="4526">
        <f t="shared" si="7"/>
        <v>100</v>
      </c>
      <c r="S16" s="2281">
        <f t="shared" si="3"/>
        <v>545710</v>
      </c>
      <c r="T16" s="2281">
        <f t="shared" si="3"/>
        <v>1523268.6115313373</v>
      </c>
      <c r="U16" s="2281">
        <f t="shared" si="8"/>
        <v>0</v>
      </c>
      <c r="V16" s="2281">
        <f t="shared" si="9"/>
        <v>0</v>
      </c>
      <c r="W16" s="4361">
        <f t="shared" si="9"/>
        <v>0</v>
      </c>
    </row>
    <row r="17" spans="1:23" s="380" customFormat="1" ht="17.399999999999999">
      <c r="A17" s="4535">
        <v>2</v>
      </c>
      <c r="B17" s="4481" t="s">
        <v>1681</v>
      </c>
      <c r="C17" s="2904">
        <f>SUM(D17:E17)</f>
        <v>151965</v>
      </c>
      <c r="D17" s="2904">
        <f>'[2]Phụ lục số 2'!AA17</f>
        <v>67965</v>
      </c>
      <c r="E17" s="2904">
        <f>'[2]Phụ lục số 2'!AB17</f>
        <v>84000</v>
      </c>
      <c r="F17" s="2281">
        <f>I17+J17</f>
        <v>75982.5</v>
      </c>
      <c r="G17" s="2281"/>
      <c r="H17" s="4526">
        <f>F17/C17%</f>
        <v>50</v>
      </c>
      <c r="I17" s="2281">
        <f t="shared" ref="I17:J17" si="21">D17*50%</f>
        <v>33982.5</v>
      </c>
      <c r="J17" s="2281">
        <f t="shared" si="21"/>
        <v>42000</v>
      </c>
      <c r="K17" s="2281">
        <f>SUM(K18:K24)</f>
        <v>6153557.2831797441</v>
      </c>
      <c r="L17" s="2281"/>
      <c r="M17" s="4526">
        <f t="shared" si="18"/>
        <v>4049.3253599050727</v>
      </c>
      <c r="N17" s="2281">
        <f>SUM(N18:N24)</f>
        <v>1958287.5</v>
      </c>
      <c r="O17" s="2281">
        <f>SUM(O18:O24)</f>
        <v>4195269.7831797441</v>
      </c>
      <c r="P17" s="2281">
        <f t="shared" si="5"/>
        <v>6229539.7831797441</v>
      </c>
      <c r="Q17" s="2281">
        <f t="shared" si="6"/>
        <v>47.817861478815466</v>
      </c>
      <c r="R17" s="4526">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35">
        <v>3</v>
      </c>
      <c r="B18" s="4481" t="s">
        <v>1682</v>
      </c>
      <c r="C18" s="2904">
        <f>SUM(D18:E18)</f>
        <v>6454249.7831797441</v>
      </c>
      <c r="D18" s="2904">
        <f>SUM(D19:D25)</f>
        <v>1996980</v>
      </c>
      <c r="E18" s="2904">
        <f>SUM(E19:E25)</f>
        <v>4457269.7831797441</v>
      </c>
      <c r="F18" s="3865">
        <f>SUM(F19:F25)</f>
        <v>3227124.8915898721</v>
      </c>
      <c r="G18" s="2281"/>
      <c r="H18" s="4526">
        <f t="shared" ref="H18:H27" si="22">F18/C18%</f>
        <v>50</v>
      </c>
      <c r="I18" s="3865">
        <f>SUM(I19:I25)</f>
        <v>998490</v>
      </c>
      <c r="J18" s="3865">
        <f>SUM(J19:J25)</f>
        <v>2228634.8915898721</v>
      </c>
      <c r="K18" s="2281">
        <f t="shared" ref="K18:K24" si="23">N18+O18</f>
        <v>3227124.8915898721</v>
      </c>
      <c r="L18" s="2281"/>
      <c r="M18" s="4526">
        <f t="shared" si="18"/>
        <v>50</v>
      </c>
      <c r="N18" s="2281">
        <f t="shared" ref="N18:O28" si="24">D18-I18</f>
        <v>998490</v>
      </c>
      <c r="O18" s="2281">
        <f t="shared" si="24"/>
        <v>2228634.8915898721</v>
      </c>
      <c r="P18" s="2281">
        <f t="shared" si="5"/>
        <v>6454249.7831797441</v>
      </c>
      <c r="Q18" s="2281">
        <f t="shared" si="6"/>
        <v>49.542732340370499</v>
      </c>
      <c r="R18" s="4526">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36">
        <f t="shared" ref="C19:C34" si="25">SUM(D19:E19)</f>
        <v>31218</v>
      </c>
      <c r="D19" s="4436">
        <f>'[2]Phụ lục số 2'!AA19</f>
        <v>31218</v>
      </c>
      <c r="E19" s="4436">
        <f>'[2]Phụ lục số 2'!AB19</f>
        <v>0</v>
      </c>
      <c r="F19" s="2275">
        <f t="shared" ref="F19:F24" si="26">I19+J19</f>
        <v>15609</v>
      </c>
      <c r="G19" s="2275">
        <f>F19/$F$7*100</f>
        <v>0.17443146497529116</v>
      </c>
      <c r="H19" s="4526">
        <f t="shared" si="22"/>
        <v>50</v>
      </c>
      <c r="I19" s="2275">
        <f t="shared" ref="I19:J25" si="27">D19*50%</f>
        <v>15609</v>
      </c>
      <c r="J19" s="2275">
        <f t="shared" si="27"/>
        <v>0</v>
      </c>
      <c r="K19" s="2275">
        <f t="shared" si="23"/>
        <v>15609</v>
      </c>
      <c r="L19" s="2275">
        <f>K19/$K$7*100</f>
        <v>0.38265402286097605</v>
      </c>
      <c r="M19" s="4529">
        <f t="shared" si="18"/>
        <v>50</v>
      </c>
      <c r="N19" s="2275">
        <f t="shared" si="24"/>
        <v>15609</v>
      </c>
      <c r="O19" s="2275">
        <f t="shared" si="24"/>
        <v>0</v>
      </c>
      <c r="P19" s="2275">
        <f t="shared" si="5"/>
        <v>31218</v>
      </c>
      <c r="Q19" s="2275">
        <f t="shared" si="6"/>
        <v>0.23962893754628251</v>
      </c>
      <c r="R19" s="4529">
        <f t="shared" si="7"/>
        <v>100</v>
      </c>
      <c r="S19" s="2275">
        <f t="shared" si="3"/>
        <v>31218</v>
      </c>
      <c r="T19" s="2275">
        <f t="shared" si="3"/>
        <v>0</v>
      </c>
      <c r="U19" s="2275">
        <f t="shared" si="8"/>
        <v>0</v>
      </c>
      <c r="V19" s="2275">
        <f t="shared" si="9"/>
        <v>0</v>
      </c>
      <c r="W19" s="4360">
        <f t="shared" si="9"/>
        <v>0</v>
      </c>
    </row>
    <row r="20" spans="1:23" s="596" customFormat="1">
      <c r="A20" s="2747" t="s">
        <v>101</v>
      </c>
      <c r="B20" s="1927" t="s">
        <v>1684</v>
      </c>
      <c r="C20" s="4436">
        <f t="shared" si="25"/>
        <v>4797945.7831797441</v>
      </c>
      <c r="D20" s="4436">
        <f>'[2]Phụ lục số 2'!AA20</f>
        <v>956676</v>
      </c>
      <c r="E20" s="4436">
        <f>'[2]Phụ lục số 2'!AB20</f>
        <v>3841269.7831797441</v>
      </c>
      <c r="F20" s="2275">
        <f t="shared" si="26"/>
        <v>2398972.8915898721</v>
      </c>
      <c r="G20" s="2275"/>
      <c r="H20" s="4526">
        <f t="shared" si="22"/>
        <v>50</v>
      </c>
      <c r="I20" s="2275">
        <f t="shared" si="27"/>
        <v>478338</v>
      </c>
      <c r="J20" s="2275">
        <f t="shared" si="27"/>
        <v>1920634.8915898721</v>
      </c>
      <c r="K20" s="2275">
        <f t="shared" si="23"/>
        <v>2398972.8915898721</v>
      </c>
      <c r="L20" s="2275"/>
      <c r="M20" s="4529">
        <f t="shared" si="18"/>
        <v>50</v>
      </c>
      <c r="N20" s="2275">
        <f>D20-I20</f>
        <v>478338</v>
      </c>
      <c r="O20" s="2275">
        <f t="shared" si="24"/>
        <v>1920634.8915898721</v>
      </c>
      <c r="P20" s="2275">
        <f t="shared" si="5"/>
        <v>4797945.7831797441</v>
      </c>
      <c r="Q20" s="2275">
        <f t="shared" si="6"/>
        <v>36.828965674547646</v>
      </c>
      <c r="R20" s="4529">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1685</v>
      </c>
      <c r="C21" s="4436">
        <f t="shared" si="25"/>
        <v>828538</v>
      </c>
      <c r="D21" s="4436">
        <f>'[2]Phụ lục số 2'!AA21</f>
        <v>828538</v>
      </c>
      <c r="E21" s="4436">
        <f>'[2]Phụ lục số 2'!AB21</f>
        <v>0</v>
      </c>
      <c r="F21" s="2275">
        <f t="shared" si="26"/>
        <v>414269</v>
      </c>
      <c r="G21" s="2275"/>
      <c r="H21" s="4526">
        <f t="shared" si="22"/>
        <v>50.000000000000007</v>
      </c>
      <c r="I21" s="2275">
        <f t="shared" si="27"/>
        <v>414269</v>
      </c>
      <c r="J21" s="2275">
        <f t="shared" si="27"/>
        <v>0</v>
      </c>
      <c r="K21" s="2275">
        <f t="shared" si="23"/>
        <v>414269</v>
      </c>
      <c r="L21" s="2275"/>
      <c r="M21" s="4529"/>
      <c r="N21" s="2275">
        <f t="shared" si="24"/>
        <v>414269</v>
      </c>
      <c r="O21" s="2275">
        <f t="shared" si="24"/>
        <v>0</v>
      </c>
      <c r="P21" s="2275">
        <f t="shared" si="5"/>
        <v>828538</v>
      </c>
      <c r="Q21" s="2275">
        <f t="shared" si="6"/>
        <v>6.3598462635890129</v>
      </c>
      <c r="R21" s="4529">
        <f t="shared" si="7"/>
        <v>100</v>
      </c>
      <c r="S21" s="2275">
        <f t="shared" si="3"/>
        <v>828538</v>
      </c>
      <c r="T21" s="2275">
        <f t="shared" si="3"/>
        <v>0</v>
      </c>
      <c r="U21" s="2275">
        <f t="shared" si="8"/>
        <v>0</v>
      </c>
      <c r="V21" s="2275">
        <f t="shared" si="9"/>
        <v>0</v>
      </c>
      <c r="W21" s="4360">
        <f t="shared" si="9"/>
        <v>0</v>
      </c>
    </row>
    <row r="22" spans="1:23" s="596" customFormat="1">
      <c r="A22" s="2747" t="s">
        <v>148</v>
      </c>
      <c r="B22" s="1927" t="s">
        <v>1686</v>
      </c>
      <c r="C22" s="4436">
        <f t="shared" si="25"/>
        <v>91888</v>
      </c>
      <c r="D22" s="4436">
        <f>'[2]Phụ lục số 2'!AA22</f>
        <v>47888</v>
      </c>
      <c r="E22" s="4436">
        <f>'[2]Phụ lục số 2'!AB22</f>
        <v>44000</v>
      </c>
      <c r="F22" s="2275">
        <f t="shared" si="26"/>
        <v>45944</v>
      </c>
      <c r="G22" s="2275"/>
      <c r="H22" s="4526">
        <f t="shared" si="22"/>
        <v>50</v>
      </c>
      <c r="I22" s="2275">
        <f t="shared" si="27"/>
        <v>23944</v>
      </c>
      <c r="J22" s="2275">
        <f t="shared" si="27"/>
        <v>22000</v>
      </c>
      <c r="K22" s="2275">
        <f t="shared" si="23"/>
        <v>45944</v>
      </c>
      <c r="L22" s="2275"/>
      <c r="M22" s="4529"/>
      <c r="N22" s="2275">
        <f t="shared" si="24"/>
        <v>23944</v>
      </c>
      <c r="O22" s="2275">
        <f t="shared" si="24"/>
        <v>22000</v>
      </c>
      <c r="P22" s="2275">
        <f t="shared" si="5"/>
        <v>91888</v>
      </c>
      <c r="Q22" s="2275">
        <f t="shared" si="6"/>
        <v>0.70533102098958322</v>
      </c>
      <c r="R22" s="4529">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1687</v>
      </c>
      <c r="C23" s="4436">
        <f t="shared" si="25"/>
        <v>50073</v>
      </c>
      <c r="D23" s="4436">
        <f>'[2]Phụ lục số 2'!AA23</f>
        <v>18073</v>
      </c>
      <c r="E23" s="4436">
        <f>'[2]Phụ lục số 2'!AB23</f>
        <v>32000</v>
      </c>
      <c r="F23" s="2275">
        <f t="shared" si="26"/>
        <v>25036.5</v>
      </c>
      <c r="G23" s="2275"/>
      <c r="H23" s="4526">
        <f t="shared" si="22"/>
        <v>50</v>
      </c>
      <c r="I23" s="2275">
        <f t="shared" si="27"/>
        <v>9036.5</v>
      </c>
      <c r="J23" s="2275">
        <f t="shared" si="27"/>
        <v>16000</v>
      </c>
      <c r="K23" s="2275">
        <f t="shared" si="23"/>
        <v>25036.5</v>
      </c>
      <c r="L23" s="2275"/>
      <c r="M23" s="4529"/>
      <c r="N23" s="2275">
        <f t="shared" si="24"/>
        <v>9036.5</v>
      </c>
      <c r="O23" s="2275">
        <f t="shared" si="24"/>
        <v>16000</v>
      </c>
      <c r="P23" s="2275">
        <f t="shared" si="5"/>
        <v>50073</v>
      </c>
      <c r="Q23" s="2275">
        <f t="shared" si="6"/>
        <v>0.38435965756150309</v>
      </c>
      <c r="R23" s="4529">
        <f t="shared" si="7"/>
        <v>100</v>
      </c>
      <c r="S23" s="2275">
        <f t="shared" ref="S23:T36" si="28">N23+I23</f>
        <v>18073</v>
      </c>
      <c r="T23" s="2275">
        <f t="shared" si="28"/>
        <v>32000</v>
      </c>
      <c r="U23" s="2275">
        <f t="shared" si="8"/>
        <v>0</v>
      </c>
      <c r="V23" s="2275">
        <f t="shared" si="9"/>
        <v>0</v>
      </c>
      <c r="W23" s="4360">
        <f t="shared" si="9"/>
        <v>0</v>
      </c>
    </row>
    <row r="24" spans="1:23" s="596" customFormat="1">
      <c r="A24" s="2747" t="s">
        <v>1688</v>
      </c>
      <c r="B24" s="1927" t="s">
        <v>1689</v>
      </c>
      <c r="C24" s="4436">
        <f t="shared" si="25"/>
        <v>53202</v>
      </c>
      <c r="D24" s="4436">
        <f>'[2]Phụ lục số 2'!AA24</f>
        <v>37202</v>
      </c>
      <c r="E24" s="4436">
        <f>'[2]Phụ lục số 2'!AB24</f>
        <v>16000</v>
      </c>
      <c r="F24" s="2275">
        <f t="shared" si="26"/>
        <v>26601</v>
      </c>
      <c r="G24" s="2275"/>
      <c r="H24" s="4526">
        <f t="shared" si="22"/>
        <v>50</v>
      </c>
      <c r="I24" s="2275">
        <f t="shared" si="27"/>
        <v>18601</v>
      </c>
      <c r="J24" s="2275">
        <f t="shared" si="27"/>
        <v>8000</v>
      </c>
      <c r="K24" s="2275">
        <f t="shared" si="23"/>
        <v>26601</v>
      </c>
      <c r="L24" s="2275"/>
      <c r="M24" s="4529"/>
      <c r="N24" s="2275">
        <f>D24-I24</f>
        <v>18601</v>
      </c>
      <c r="O24" s="2275">
        <f>E24-J24</f>
        <v>8000</v>
      </c>
      <c r="P24" s="2275">
        <f t="shared" si="5"/>
        <v>53202</v>
      </c>
      <c r="Q24" s="2275">
        <f t="shared" si="6"/>
        <v>0.40837781841685317</v>
      </c>
      <c r="R24" s="4529">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1730</v>
      </c>
      <c r="C25" s="4436">
        <f t="shared" si="25"/>
        <v>601385</v>
      </c>
      <c r="D25" s="4436">
        <f>'[2]Phụ lục số 2'!AA25</f>
        <v>77385</v>
      </c>
      <c r="E25" s="4436">
        <f>'[2]Phụ lục số 2'!AB25</f>
        <v>524000</v>
      </c>
      <c r="F25" s="2275">
        <f t="shared" ref="F25:F30" si="29">SUM(I25,J25)</f>
        <v>300692.5</v>
      </c>
      <c r="G25" s="2281">
        <f>F25/$F$7*100</f>
        <v>3.3602558320252882</v>
      </c>
      <c r="H25" s="4526">
        <f t="shared" si="22"/>
        <v>50</v>
      </c>
      <c r="I25" s="2275">
        <f t="shared" si="27"/>
        <v>38692.5</v>
      </c>
      <c r="J25" s="2275">
        <f t="shared" si="27"/>
        <v>262000</v>
      </c>
      <c r="K25" s="2281">
        <f t="shared" ref="K25:K31" si="30">SUM(N25,O25)</f>
        <v>300692.5</v>
      </c>
      <c r="L25" s="2281">
        <f>K25/$K$7*100</f>
        <v>7.3714648452254492</v>
      </c>
      <c r="M25" s="4526">
        <f>K25/C25%</f>
        <v>50</v>
      </c>
      <c r="N25" s="2281">
        <f t="shared" si="24"/>
        <v>38692.5</v>
      </c>
      <c r="O25" s="2281">
        <f>(E25-J25)</f>
        <v>262000</v>
      </c>
      <c r="P25" s="2281">
        <f t="shared" si="5"/>
        <v>601385</v>
      </c>
      <c r="Q25" s="2281">
        <f t="shared" si="6"/>
        <v>4.6162229677196205</v>
      </c>
      <c r="R25" s="4526">
        <f t="shared" si="7"/>
        <v>100</v>
      </c>
      <c r="S25" s="2281">
        <f t="shared" si="28"/>
        <v>77385</v>
      </c>
      <c r="T25" s="2281">
        <f t="shared" si="28"/>
        <v>524000</v>
      </c>
      <c r="U25" s="2281">
        <f t="shared" si="8"/>
        <v>0</v>
      </c>
      <c r="V25" s="2281">
        <f t="shared" si="9"/>
        <v>0</v>
      </c>
      <c r="W25" s="4361">
        <f t="shared" si="9"/>
        <v>0</v>
      </c>
    </row>
    <row r="26" spans="1:23" s="596" customFormat="1">
      <c r="A26" s="4535">
        <v>4</v>
      </c>
      <c r="B26" s="4481" t="s">
        <v>1690</v>
      </c>
      <c r="C26" s="4436">
        <f t="shared" si="25"/>
        <v>1570458</v>
      </c>
      <c r="D26" s="4436">
        <f>'[2]Phụ lục số 2'!AA26</f>
        <v>515458</v>
      </c>
      <c r="E26" s="4436">
        <f>'[2]Phụ lục số 2'!AB26</f>
        <v>1055000</v>
      </c>
      <c r="F26" s="2281">
        <f>SUM(I26,J26)</f>
        <v>785229</v>
      </c>
      <c r="G26" s="2281"/>
      <c r="H26" s="4526">
        <f t="shared" si="22"/>
        <v>50</v>
      </c>
      <c r="I26" s="2281">
        <f>INT(D26/2)</f>
        <v>257729</v>
      </c>
      <c r="J26" s="2281">
        <f>INT(E26/2)</f>
        <v>527500</v>
      </c>
      <c r="K26" s="2281">
        <f t="shared" si="30"/>
        <v>785229</v>
      </c>
      <c r="L26" s="2281"/>
      <c r="M26" s="4526">
        <f>K26/C26%</f>
        <v>50</v>
      </c>
      <c r="N26" s="2281">
        <f t="shared" si="24"/>
        <v>257729</v>
      </c>
      <c r="O26" s="2281">
        <f t="shared" si="24"/>
        <v>527500</v>
      </c>
      <c r="P26" s="2281">
        <f t="shared" si="5"/>
        <v>1570458</v>
      </c>
      <c r="Q26" s="2281">
        <f t="shared" si="6"/>
        <v>12.054813953522318</v>
      </c>
      <c r="R26" s="4526">
        <f t="shared" si="7"/>
        <v>100</v>
      </c>
      <c r="S26" s="2281">
        <f t="shared" si="28"/>
        <v>515458</v>
      </c>
      <c r="T26" s="2281">
        <f t="shared" si="28"/>
        <v>1055000</v>
      </c>
      <c r="U26" s="2281">
        <f t="shared" si="8"/>
        <v>0</v>
      </c>
      <c r="V26" s="2281">
        <f t="shared" si="9"/>
        <v>0</v>
      </c>
      <c r="W26" s="4361">
        <f t="shared" si="9"/>
        <v>0</v>
      </c>
    </row>
    <row r="27" spans="1:23" s="596" customFormat="1">
      <c r="A27" s="4535">
        <v>5</v>
      </c>
      <c r="B27" s="4481" t="s">
        <v>1691</v>
      </c>
      <c r="C27" s="4436">
        <f t="shared" si="25"/>
        <v>367327</v>
      </c>
      <c r="D27" s="4436">
        <f>'[2]Phụ lục số 2'!AA27</f>
        <v>148327</v>
      </c>
      <c r="E27" s="4436">
        <f>'[2]Phụ lục số 2'!AB27</f>
        <v>219000</v>
      </c>
      <c r="F27" s="2281">
        <f t="shared" si="29"/>
        <v>183663</v>
      </c>
      <c r="G27" s="2281"/>
      <c r="H27" s="4526">
        <f t="shared" si="22"/>
        <v>49.99986388150068</v>
      </c>
      <c r="I27" s="2281">
        <f>INT(D27/2)</f>
        <v>74163</v>
      </c>
      <c r="J27" s="2281">
        <f>INT(E27/2)</f>
        <v>109500</v>
      </c>
      <c r="K27" s="2281">
        <f t="shared" si="30"/>
        <v>183664</v>
      </c>
      <c r="L27" s="2281"/>
      <c r="M27" s="4526">
        <f>K27/C27%</f>
        <v>50.00013611849932</v>
      </c>
      <c r="N27" s="2281">
        <f t="shared" si="24"/>
        <v>74164</v>
      </c>
      <c r="O27" s="2281">
        <f t="shared" si="24"/>
        <v>109500</v>
      </c>
      <c r="P27" s="2281">
        <f t="shared" si="5"/>
        <v>367327</v>
      </c>
      <c r="Q27" s="2281">
        <f t="shared" si="6"/>
        <v>2.819596987060776</v>
      </c>
      <c r="R27" s="4526">
        <f t="shared" si="7"/>
        <v>100</v>
      </c>
      <c r="S27" s="2281">
        <f t="shared" si="28"/>
        <v>148327</v>
      </c>
      <c r="T27" s="2281">
        <f t="shared" si="28"/>
        <v>219000</v>
      </c>
      <c r="U27" s="2281">
        <f t="shared" si="8"/>
        <v>0</v>
      </c>
      <c r="V27" s="2281">
        <f t="shared" si="9"/>
        <v>0</v>
      </c>
      <c r="W27" s="4361">
        <f t="shared" si="9"/>
        <v>0</v>
      </c>
    </row>
    <row r="28" spans="1:23" s="596" customFormat="1">
      <c r="A28" s="4535">
        <v>6</v>
      </c>
      <c r="B28" s="4481" t="s">
        <v>721</v>
      </c>
      <c r="C28" s="4436">
        <f t="shared" si="25"/>
        <v>52000</v>
      </c>
      <c r="D28" s="4436">
        <f>'[2]Phụ lục số 2'!AA28</f>
        <v>20000</v>
      </c>
      <c r="E28" s="4436">
        <f>'[2]Phụ lục số 2'!AB28</f>
        <v>32000</v>
      </c>
      <c r="F28" s="2281">
        <f t="shared" si="29"/>
        <v>36000</v>
      </c>
      <c r="G28" s="2281"/>
      <c r="H28" s="4526"/>
      <c r="I28" s="2281">
        <f>D28</f>
        <v>20000</v>
      </c>
      <c r="J28" s="2281">
        <f>INT(E28/2)</f>
        <v>16000</v>
      </c>
      <c r="K28" s="2281">
        <f t="shared" si="30"/>
        <v>16000</v>
      </c>
      <c r="L28" s="2281"/>
      <c r="M28" s="4526"/>
      <c r="N28" s="2281">
        <f t="shared" si="24"/>
        <v>0</v>
      </c>
      <c r="O28" s="2281">
        <f t="shared" si="24"/>
        <v>16000</v>
      </c>
      <c r="P28" s="2281">
        <f t="shared" si="5"/>
        <v>52000</v>
      </c>
      <c r="Q28" s="2281">
        <f t="shared" si="6"/>
        <v>0.39915128299079672</v>
      </c>
      <c r="R28" s="4526">
        <f t="shared" si="7"/>
        <v>100</v>
      </c>
      <c r="S28" s="2281">
        <f t="shared" si="28"/>
        <v>20000</v>
      </c>
      <c r="T28" s="2281">
        <f t="shared" si="28"/>
        <v>32000</v>
      </c>
      <c r="U28" s="2281">
        <f t="shared" si="8"/>
        <v>0</v>
      </c>
      <c r="V28" s="2281">
        <f t="shared" si="9"/>
        <v>0</v>
      </c>
      <c r="W28" s="4361">
        <f t="shared" si="9"/>
        <v>0</v>
      </c>
    </row>
    <row r="29" spans="1:23" s="380" customFormat="1" ht="17.399999999999999">
      <c r="A29" s="4535" t="s">
        <v>182</v>
      </c>
      <c r="B29" s="4481" t="s">
        <v>742</v>
      </c>
      <c r="C29" s="2904">
        <f t="shared" si="25"/>
        <v>2000</v>
      </c>
      <c r="D29" s="2904">
        <f>'[2]Phụ lục số 2'!AA29</f>
        <v>2000</v>
      </c>
      <c r="E29" s="2904">
        <f>'[2]Phụ lục số 2'!AB29</f>
        <v>0</v>
      </c>
      <c r="F29" s="2281">
        <f t="shared" si="29"/>
        <v>2000</v>
      </c>
      <c r="G29" s="2281"/>
      <c r="H29" s="4526"/>
      <c r="I29" s="2281">
        <f>2000</f>
        <v>2000</v>
      </c>
      <c r="J29" s="2281"/>
      <c r="K29" s="2281">
        <f t="shared" si="30"/>
        <v>0</v>
      </c>
      <c r="L29" s="2281"/>
      <c r="M29" s="4526"/>
      <c r="N29" s="2281">
        <f>D29-I29</f>
        <v>0</v>
      </c>
      <c r="O29" s="2281">
        <f>E29-J29</f>
        <v>0</v>
      </c>
      <c r="P29" s="2281">
        <f t="shared" si="5"/>
        <v>2000</v>
      </c>
      <c r="Q29" s="2281">
        <f t="shared" si="6"/>
        <v>1.5351972422722947E-2</v>
      </c>
      <c r="R29" s="4526">
        <f t="shared" si="7"/>
        <v>100</v>
      </c>
      <c r="S29" s="2281">
        <f t="shared" si="28"/>
        <v>2000</v>
      </c>
      <c r="T29" s="2281">
        <f t="shared" si="28"/>
        <v>0</v>
      </c>
      <c r="U29" s="2281">
        <f t="shared" si="8"/>
        <v>0</v>
      </c>
      <c r="V29" s="2281">
        <f t="shared" si="9"/>
        <v>0</v>
      </c>
      <c r="W29" s="4361">
        <f t="shared" si="9"/>
        <v>0</v>
      </c>
    </row>
    <row r="30" spans="1:23" s="380" customFormat="1" ht="17.399999999999999">
      <c r="A30" s="4535" t="s">
        <v>215</v>
      </c>
      <c r="B30" s="4481" t="s">
        <v>175</v>
      </c>
      <c r="C30" s="2904">
        <f t="shared" si="25"/>
        <v>327868.91231904214</v>
      </c>
      <c r="D30" s="2904">
        <f>'[2]Phụ lục số 2'!AA30</f>
        <v>152264.36799999999</v>
      </c>
      <c r="E30" s="2904">
        <f>'[2]Phụ lục số 2'!AB30</f>
        <v>175604.54431904212</v>
      </c>
      <c r="F30" s="2281">
        <f t="shared" si="29"/>
        <v>126802</v>
      </c>
      <c r="G30" s="2281">
        <f>F30/$F$7*100</f>
        <v>1.4170195798447605</v>
      </c>
      <c r="H30" s="4526"/>
      <c r="I30" s="2281">
        <f>ROUNDUP(D30/4,-3)</f>
        <v>39000</v>
      </c>
      <c r="J30" s="2281">
        <f>INT(E30/2)</f>
        <v>87802</v>
      </c>
      <c r="K30" s="2281">
        <f t="shared" si="30"/>
        <v>241786.54431904212</v>
      </c>
      <c r="L30" s="2281">
        <f>K30/$K$7*100</f>
        <v>5.927387651824918</v>
      </c>
      <c r="M30" s="4526"/>
      <c r="N30" s="2281">
        <f>IF(('[38]Thu NSNN'!X10-'[38]Thu NSNN'!F10)/2,0,('[38]Thu NSNN'!X10-'[38]Thu NSNN'!F10)/2)</f>
        <v>0</v>
      </c>
      <c r="O30" s="2281">
        <f>E30+INT(('[38]Thu NSNN'!AD10*70%))</f>
        <v>241786.54431904212</v>
      </c>
      <c r="P30" s="2281">
        <f t="shared" si="5"/>
        <v>368588.54431904212</v>
      </c>
      <c r="Q30" s="2281">
        <f t="shared" si="6"/>
        <v>2.8292805838587647</v>
      </c>
      <c r="R30" s="4526"/>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35" t="s">
        <v>718</v>
      </c>
      <c r="B31" s="4481" t="s">
        <v>2415</v>
      </c>
      <c r="C31" s="2904">
        <f t="shared" si="25"/>
        <v>0</v>
      </c>
      <c r="D31" s="2904">
        <f>'[2]Phụ lục số 2'!AA31</f>
        <v>0</v>
      </c>
      <c r="E31" s="2904">
        <f>'[2]Phụ lục số 2'!AB31</f>
        <v>0</v>
      </c>
      <c r="F31" s="2281">
        <f>SUM(I31,J31)</f>
        <v>0</v>
      </c>
      <c r="G31" s="2281"/>
      <c r="H31" s="4526"/>
      <c r="I31" s="2281">
        <v>0</v>
      </c>
      <c r="J31" s="2281">
        <f>INT(E31/2)</f>
        <v>0</v>
      </c>
      <c r="K31" s="2281">
        <f t="shared" si="30"/>
        <v>0</v>
      </c>
      <c r="L31" s="2281"/>
      <c r="M31" s="4526"/>
      <c r="N31" s="2281">
        <f>D31-I31</f>
        <v>0</v>
      </c>
      <c r="O31" s="2281">
        <f>E31-J31</f>
        <v>0</v>
      </c>
      <c r="P31" s="2281">
        <f t="shared" si="5"/>
        <v>0</v>
      </c>
      <c r="Q31" s="2281">
        <f t="shared" si="6"/>
        <v>0</v>
      </c>
      <c r="R31" s="4526" t="e">
        <f t="shared" si="7"/>
        <v>#DIV/0!</v>
      </c>
      <c r="S31" s="2281">
        <f t="shared" si="28"/>
        <v>0</v>
      </c>
      <c r="T31" s="2281">
        <f t="shared" si="28"/>
        <v>0</v>
      </c>
      <c r="U31" s="2281">
        <f t="shared" si="8"/>
        <v>0</v>
      </c>
      <c r="V31" s="2281">
        <f t="shared" si="9"/>
        <v>0</v>
      </c>
      <c r="W31" s="4361">
        <f t="shared" si="9"/>
        <v>0</v>
      </c>
    </row>
    <row r="32" spans="1:23" s="380" customFormat="1" ht="34.799999999999997">
      <c r="A32" s="4535" t="s">
        <v>744</v>
      </c>
      <c r="B32" s="4481" t="s">
        <v>2848</v>
      </c>
      <c r="C32" s="2904">
        <f t="shared" si="25"/>
        <v>717399.2</v>
      </c>
      <c r="D32" s="2904">
        <f>'[2]Phụ lục số 2'!AA32</f>
        <v>79139.200000000012</v>
      </c>
      <c r="E32" s="2904">
        <f>'[2]Phụ lục số 2'!AB32</f>
        <v>638260</v>
      </c>
      <c r="F32" s="2261">
        <f>SUM(I32:J32)</f>
        <v>0</v>
      </c>
      <c r="G32" s="2261"/>
      <c r="H32" s="4533">
        <f>F32/C32%</f>
        <v>0</v>
      </c>
      <c r="I32" s="2261"/>
      <c r="J32" s="2261">
        <f>SUM(J33:J34)</f>
        <v>0</v>
      </c>
      <c r="K32" s="2261">
        <f>SUM(K33:K34)</f>
        <v>564500</v>
      </c>
      <c r="L32" s="2261"/>
      <c r="M32" s="4533">
        <f>K32/C32%</f>
        <v>78.687012753847512</v>
      </c>
      <c r="N32" s="2261"/>
      <c r="O32" s="2261">
        <f>SUM(O33:O34)</f>
        <v>0</v>
      </c>
      <c r="P32" s="2261">
        <f t="shared" si="5"/>
        <v>564500</v>
      </c>
      <c r="Q32" s="2261">
        <f t="shared" si="6"/>
        <v>4.333094216313552</v>
      </c>
      <c r="R32" s="4533">
        <f t="shared" si="7"/>
        <v>78.687012753847512</v>
      </c>
      <c r="S32" s="2261">
        <f>N32+I32</f>
        <v>0</v>
      </c>
      <c r="T32" s="2261">
        <f t="shared" si="28"/>
        <v>0</v>
      </c>
      <c r="U32" s="2261">
        <f t="shared" si="8"/>
        <v>-152899.19999999995</v>
      </c>
      <c r="V32" s="2261">
        <f>S32-D32</f>
        <v>-79139.200000000012</v>
      </c>
      <c r="W32" s="4464">
        <f t="shared" si="9"/>
        <v>-638260</v>
      </c>
    </row>
    <row r="33" spans="1:23" s="380" customFormat="1" ht="34.799999999999997">
      <c r="A33" s="4535" t="s">
        <v>745</v>
      </c>
      <c r="B33" s="4481" t="s">
        <v>212</v>
      </c>
      <c r="C33" s="2904">
        <f t="shared" si="25"/>
        <v>0</v>
      </c>
      <c r="D33" s="2904">
        <f>'[2]Phụ lục số 2'!AA33</f>
        <v>0</v>
      </c>
      <c r="E33" s="2904">
        <f>'[2]Phụ lục số 2'!AB33</f>
        <v>0</v>
      </c>
      <c r="F33" s="2261">
        <f>SUM(I33:J33)</f>
        <v>0</v>
      </c>
      <c r="G33" s="2281"/>
      <c r="H33" s="4526"/>
      <c r="I33" s="2281"/>
      <c r="J33" s="2281"/>
      <c r="K33" s="2281">
        <f>'[38]Thu NSNN'!N55</f>
        <v>563000</v>
      </c>
      <c r="L33" s="2281"/>
      <c r="M33" s="4526"/>
      <c r="N33" s="2281">
        <f>D33-I33</f>
        <v>0</v>
      </c>
      <c r="O33" s="2281">
        <v>0</v>
      </c>
      <c r="P33" s="2281">
        <f>K33+F33</f>
        <v>563000</v>
      </c>
      <c r="Q33" s="2281">
        <f t="shared" si="6"/>
        <v>4.3215802369965095</v>
      </c>
      <c r="R33" s="4526" t="e">
        <f t="shared" si="7"/>
        <v>#DIV/0!</v>
      </c>
      <c r="S33" s="2281">
        <f t="shared" si="28"/>
        <v>0</v>
      </c>
      <c r="T33" s="2281">
        <f t="shared" si="28"/>
        <v>0</v>
      </c>
      <c r="U33" s="2281">
        <f t="shared" si="8"/>
        <v>563000</v>
      </c>
      <c r="V33" s="2281">
        <f t="shared" si="9"/>
        <v>0</v>
      </c>
      <c r="W33" s="4361">
        <f t="shared" si="9"/>
        <v>0</v>
      </c>
    </row>
    <row r="34" spans="1:23" s="380" customFormat="1" ht="17.399999999999999">
      <c r="A34" s="4535" t="s">
        <v>1716</v>
      </c>
      <c r="B34" s="4481" t="s">
        <v>213</v>
      </c>
      <c r="C34" s="2904">
        <f t="shared" si="25"/>
        <v>3000</v>
      </c>
      <c r="D34" s="2904">
        <f>'[2]Phụ lục số 2'!AA34</f>
        <v>3000</v>
      </c>
      <c r="E34" s="2904">
        <f>'[2]Phụ lục số 2'!AB34</f>
        <v>0</v>
      </c>
      <c r="F34" s="2261">
        <f>SUM(I34:J34)</f>
        <v>1500</v>
      </c>
      <c r="G34" s="2281"/>
      <c r="H34" s="4526"/>
      <c r="I34" s="2281">
        <v>1500</v>
      </c>
      <c r="J34" s="2281"/>
      <c r="K34" s="2281">
        <f>N34+O34</f>
        <v>1500</v>
      </c>
      <c r="L34" s="2281"/>
      <c r="M34" s="4526"/>
      <c r="N34" s="2281">
        <f>D34-I34</f>
        <v>1500</v>
      </c>
      <c r="O34" s="2281">
        <v>0</v>
      </c>
      <c r="P34" s="2281">
        <f>K34+F34</f>
        <v>3000</v>
      </c>
      <c r="Q34" s="2281">
        <f t="shared" si="6"/>
        <v>2.3027958634084422E-2</v>
      </c>
      <c r="R34" s="4526">
        <f t="shared" si="7"/>
        <v>100</v>
      </c>
      <c r="S34" s="2281">
        <f t="shared" si="28"/>
        <v>3000</v>
      </c>
      <c r="T34" s="2281">
        <f t="shared" si="28"/>
        <v>0</v>
      </c>
      <c r="U34" s="2281">
        <f t="shared" si="8"/>
        <v>0</v>
      </c>
      <c r="V34" s="2281">
        <f t="shared" si="9"/>
        <v>0</v>
      </c>
      <c r="W34" s="4361">
        <f t="shared" si="9"/>
        <v>0</v>
      </c>
    </row>
    <row r="35" spans="1:23" s="380" customFormat="1" ht="34.799999999999997">
      <c r="A35" s="4530" t="s">
        <v>37</v>
      </c>
      <c r="B35" s="4531" t="s">
        <v>177</v>
      </c>
      <c r="C35" s="2904">
        <f>SUM(C36:C38)</f>
        <v>1988976</v>
      </c>
      <c r="D35" s="2904">
        <f t="shared" ref="D35:E35" si="31">SUM(D36:D38)</f>
        <v>1988976</v>
      </c>
      <c r="E35" s="2904">
        <f t="shared" si="31"/>
        <v>0</v>
      </c>
      <c r="F35" s="2261">
        <f>SUM(I35:J35)</f>
        <v>994488</v>
      </c>
      <c r="G35" s="2261"/>
      <c r="H35" s="4533"/>
      <c r="I35" s="2261">
        <f>SUM(I36:I38)</f>
        <v>994488</v>
      </c>
      <c r="J35" s="2261">
        <f t="shared" ref="J35" si="32">SUM(J36:J38)</f>
        <v>0</v>
      </c>
      <c r="K35" s="2261">
        <f>SUM(N35:O35)</f>
        <v>994488</v>
      </c>
      <c r="L35" s="2261"/>
      <c r="M35" s="4533"/>
      <c r="N35" s="2261">
        <f>SUM(N36:N38)</f>
        <v>994488</v>
      </c>
      <c r="O35" s="2261">
        <f t="shared" ref="O35" si="33">SUM(O36:O38)</f>
        <v>0</v>
      </c>
      <c r="P35" s="2261">
        <f>K35+F35</f>
        <v>1988976</v>
      </c>
      <c r="Q35" s="2261">
        <f t="shared" si="6"/>
        <v>15.267352350728899</v>
      </c>
      <c r="R35" s="4533">
        <f t="shared" si="7"/>
        <v>100</v>
      </c>
      <c r="S35" s="2261">
        <f t="shared" si="28"/>
        <v>1988976</v>
      </c>
      <c r="T35" s="2261">
        <f t="shared" si="28"/>
        <v>0</v>
      </c>
      <c r="U35" s="2261">
        <f>P35-C35</f>
        <v>0</v>
      </c>
      <c r="V35" s="2261">
        <f t="shared" si="9"/>
        <v>0</v>
      </c>
      <c r="W35" s="4464">
        <f t="shared" si="9"/>
        <v>0</v>
      </c>
    </row>
    <row r="36" spans="1:23" s="2812" customFormat="1" ht="36">
      <c r="A36" s="4536">
        <v>1</v>
      </c>
      <c r="B36" s="4537" t="s">
        <v>178</v>
      </c>
      <c r="C36" s="4436">
        <f>SUM(D36:E36)</f>
        <v>1814491</v>
      </c>
      <c r="D36" s="4436">
        <f>'[2]Phụ lục số 2'!AA36</f>
        <v>1814491</v>
      </c>
      <c r="E36" s="4436"/>
      <c r="F36" s="4436">
        <f>SUM(I36:J36)</f>
        <v>907245.5</v>
      </c>
      <c r="G36" s="4436"/>
      <c r="H36" s="4436"/>
      <c r="I36" s="4436">
        <f>D36*50%</f>
        <v>907245.5</v>
      </c>
      <c r="J36" s="4436"/>
      <c r="K36" s="4436"/>
      <c r="L36" s="4436"/>
      <c r="M36" s="4436"/>
      <c r="N36" s="4436">
        <f>D36-I36</f>
        <v>907245.5</v>
      </c>
      <c r="O36" s="4436"/>
      <c r="P36" s="4436"/>
      <c r="Q36" s="4436"/>
      <c r="R36" s="4436"/>
      <c r="S36" s="4436">
        <f t="shared" si="28"/>
        <v>1814491</v>
      </c>
      <c r="T36" s="4436"/>
      <c r="U36" s="4436"/>
      <c r="V36" s="4436">
        <f t="shared" si="9"/>
        <v>0</v>
      </c>
      <c r="W36" s="4538"/>
    </row>
    <row r="37" spans="1:23" s="2812" customFormat="1" ht="36">
      <c r="A37" s="4536">
        <v>2</v>
      </c>
      <c r="B37" s="4537" t="s">
        <v>179</v>
      </c>
      <c r="C37" s="4436">
        <f t="shared" ref="C37:C39" si="34">SUM(D37:E37)</f>
        <v>174485</v>
      </c>
      <c r="D37" s="4436">
        <f>'[2]Phụ lục số 2'!AA37</f>
        <v>174485</v>
      </c>
      <c r="E37" s="4436"/>
      <c r="F37" s="4436">
        <f t="shared" ref="F37:F38" si="35">SUM(I37:J37)</f>
        <v>87242.5</v>
      </c>
      <c r="G37" s="4436"/>
      <c r="H37" s="4436"/>
      <c r="I37" s="4436">
        <f>D37*50%</f>
        <v>87242.5</v>
      </c>
      <c r="J37" s="4436"/>
      <c r="K37" s="4436"/>
      <c r="L37" s="4436"/>
      <c r="M37" s="4436"/>
      <c r="N37" s="4436">
        <f t="shared" ref="N37:N38" si="36">D37-I37</f>
        <v>87242.5</v>
      </c>
      <c r="O37" s="4436"/>
      <c r="P37" s="4436"/>
      <c r="Q37" s="4436"/>
      <c r="R37" s="4436"/>
      <c r="S37" s="4436"/>
      <c r="T37" s="4436"/>
      <c r="U37" s="4436"/>
      <c r="V37" s="4436"/>
      <c r="W37" s="4538"/>
    </row>
    <row r="38" spans="1:23" s="2812" customFormat="1" ht="36">
      <c r="A38" s="4536">
        <v>3</v>
      </c>
      <c r="B38" s="4537" t="s">
        <v>180</v>
      </c>
      <c r="C38" s="4436">
        <f t="shared" si="34"/>
        <v>0</v>
      </c>
      <c r="D38" s="4436">
        <f>'[2]Phụ lục số 2'!AA38</f>
        <v>0</v>
      </c>
      <c r="E38" s="4436"/>
      <c r="F38" s="4436">
        <f t="shared" si="35"/>
        <v>0</v>
      </c>
      <c r="G38" s="4436"/>
      <c r="H38" s="4436"/>
      <c r="I38" s="4436">
        <f>D38*50%</f>
        <v>0</v>
      </c>
      <c r="J38" s="4436"/>
      <c r="K38" s="4436"/>
      <c r="L38" s="4436"/>
      <c r="M38" s="4436"/>
      <c r="N38" s="4436">
        <f t="shared" si="36"/>
        <v>0</v>
      </c>
      <c r="O38" s="4436"/>
      <c r="P38" s="4436"/>
      <c r="Q38" s="4436"/>
      <c r="R38" s="4436"/>
      <c r="S38" s="4436"/>
      <c r="T38" s="4436"/>
      <c r="U38" s="4436"/>
      <c r="V38" s="4436"/>
      <c r="W38" s="4538"/>
    </row>
    <row r="39" spans="1:23" s="380" customFormat="1" ht="35.4" thickBot="1">
      <c r="A39" s="4539" t="s">
        <v>44</v>
      </c>
      <c r="B39" s="4540" t="s">
        <v>181</v>
      </c>
      <c r="C39" s="4541">
        <f t="shared" si="34"/>
        <v>0</v>
      </c>
      <c r="D39" s="4541">
        <f>'[2]Phụ lục số 2'!AA39</f>
        <v>0</v>
      </c>
      <c r="E39" s="4541"/>
      <c r="F39" s="2693"/>
      <c r="G39" s="2693"/>
      <c r="H39" s="2693"/>
      <c r="I39" s="2693"/>
      <c r="J39" s="2693"/>
      <c r="K39" s="2693"/>
      <c r="L39" s="2693"/>
      <c r="M39" s="2693"/>
      <c r="N39" s="2693"/>
      <c r="O39" s="2693"/>
      <c r="P39" s="2693"/>
      <c r="Q39" s="2693"/>
      <c r="R39" s="2693"/>
      <c r="S39" s="2693"/>
      <c r="T39" s="2693"/>
      <c r="U39" s="2693"/>
      <c r="V39" s="2693"/>
      <c r="W39" s="4542"/>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11" t="s">
        <v>2859</v>
      </c>
      <c r="B1" s="6111"/>
      <c r="C1" s="6111"/>
      <c r="D1" s="6111"/>
      <c r="E1" s="6111"/>
    </row>
    <row r="2" spans="1:7">
      <c r="A2" s="6512" t="str">
        <f>'[2]Phụ lục số 2'!A2:O2</f>
        <v>(Kèm theo Báo cáo số         /BC-UBND ngày      tháng 10 năm 2023 của Ủy ban nhân dân tỉnh Đồng Tháp)</v>
      </c>
      <c r="B2" s="6499"/>
      <c r="C2" s="6499"/>
      <c r="D2" s="6499"/>
      <c r="E2" s="6499"/>
    </row>
    <row r="3" spans="1:7" ht="18.600000000000001" thickBot="1">
      <c r="A3" s="641"/>
      <c r="B3" s="641"/>
      <c r="C3" s="641"/>
      <c r="D3" s="641"/>
      <c r="E3" s="2565" t="s">
        <v>638</v>
      </c>
    </row>
    <row r="4" spans="1:7" s="641" customFormat="1" thickTop="1">
      <c r="A4" s="4258" t="s">
        <v>0</v>
      </c>
      <c r="B4" s="3051" t="s">
        <v>201</v>
      </c>
      <c r="C4" s="3051" t="s">
        <v>220</v>
      </c>
      <c r="D4" s="3051" t="s">
        <v>1839</v>
      </c>
      <c r="E4" s="4543" t="s">
        <v>1840</v>
      </c>
    </row>
    <row r="5" spans="1:7" s="2576" customFormat="1">
      <c r="A5" s="586" t="s">
        <v>1</v>
      </c>
      <c r="B5" s="4544" t="s">
        <v>2850</v>
      </c>
      <c r="C5" s="4545">
        <f>SUM(C6,C14)</f>
        <v>24259328.488000002</v>
      </c>
      <c r="D5" s="4545">
        <f>SUM(D6,D14)</f>
        <v>15052469.220000001</v>
      </c>
      <c r="E5" s="4546">
        <f>SUM(E6,E14)</f>
        <v>9206859.2680000011</v>
      </c>
      <c r="G5" s="2577">
        <f>C5-C22</f>
        <v>1609423.3363190442</v>
      </c>
    </row>
    <row r="6" spans="1:7" s="2576" customFormat="1">
      <c r="A6" s="586" t="s">
        <v>3</v>
      </c>
      <c r="B6" s="4544" t="s">
        <v>2851</v>
      </c>
      <c r="C6" s="4545">
        <f>SUM(C7,C11,C12,C13)</f>
        <v>12305622.574000001</v>
      </c>
      <c r="D6" s="4545">
        <f>SUM(D7,D11,D12,D13)</f>
        <v>7590930.9000000004</v>
      </c>
      <c r="E6" s="4546">
        <f>SUM(E7,E11,E12,E13)</f>
        <v>4714691.6740000006</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8164881.1740000006</v>
      </c>
      <c r="D11" s="4549">
        <f>'[2]PL1-Thu6T'!L53</f>
        <v>5623219.5</v>
      </c>
      <c r="E11" s="4554">
        <f>'[2]TỔNG CỘNG'!G39/1000000</f>
        <v>2541661.6740000001</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11953705.914000001</v>
      </c>
      <c r="D14" s="4545">
        <f>SUM(D15,D19,D20,D21)</f>
        <v>7461538.3200000003</v>
      </c>
      <c r="E14" s="4546">
        <f>SUM(E15,E19,E20,E21)</f>
        <v>4492167.5940000005</v>
      </c>
    </row>
    <row r="15" spans="1:7" s="2576" customFormat="1">
      <c r="A15" s="4547">
        <v>1</v>
      </c>
      <c r="B15" s="4548" t="str">
        <f t="shared" ref="B15:B21" si="0">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0"/>
        <v>Trong đó:</v>
      </c>
      <c r="C16" s="4549"/>
      <c r="D16" s="4549"/>
      <c r="E16" s="4550"/>
    </row>
    <row r="17" spans="1:5" s="873" customFormat="1">
      <c r="A17" s="4552" t="s">
        <v>99</v>
      </c>
      <c r="B17" s="4551" t="str">
        <f t="shared" si="0"/>
        <v>Thu tiền sử dụng đất</v>
      </c>
      <c r="C17" s="724">
        <f>SUM(D17:E17)</f>
        <v>623794</v>
      </c>
      <c r="D17" s="724">
        <f>'[2]Phụ lục số 1'!R40</f>
        <v>70000</v>
      </c>
      <c r="E17" s="4553">
        <f>'[2]Phụ lục số 1'!S40</f>
        <v>553794</v>
      </c>
    </row>
    <row r="18" spans="1:5" s="873" customFormat="1">
      <c r="A18" s="4552" t="s">
        <v>101</v>
      </c>
      <c r="B18" s="4551" t="str">
        <f t="shared" si="0"/>
        <v>Thu xổ số kiến thiết</v>
      </c>
      <c r="C18" s="724">
        <f>SUM(D18:E18)</f>
        <v>960524</v>
      </c>
      <c r="D18" s="724">
        <f>'[2]Phụ lục số 1'!R48</f>
        <v>960524</v>
      </c>
      <c r="E18" s="4553">
        <f>'[2]Phụ lục số 1'!S48</f>
        <v>0</v>
      </c>
    </row>
    <row r="19" spans="1:5">
      <c r="A19" s="4547">
        <v>2</v>
      </c>
      <c r="B19" s="4548" t="str">
        <f t="shared" si="0"/>
        <v>Thu bổ sung từ ngân sách cấp trên</v>
      </c>
      <c r="C19" s="4549">
        <f>SUM(D19:E19)</f>
        <v>7861524.6740000006</v>
      </c>
      <c r="D19" s="4549">
        <f>'[2]Phụ lục số 1'!R52</f>
        <v>5319863</v>
      </c>
      <c r="E19" s="4554">
        <f>'[2]TỔNG CỘNG'!H39/1000000</f>
        <v>2541661.6740000001</v>
      </c>
    </row>
    <row r="20" spans="1:5">
      <c r="A20" s="4547">
        <v>3</v>
      </c>
      <c r="B20" s="4548" t="str">
        <f t="shared" si="0"/>
        <v>Thu chuyển nguồn làm lương năm trước chuyển sang</v>
      </c>
      <c r="C20" s="4549">
        <f>SUM(D20:E20)</f>
        <v>341300</v>
      </c>
      <c r="D20" s="4549"/>
      <c r="E20" s="4550">
        <f>'[2]Phụ lục số 1'!S59</f>
        <v>341300</v>
      </c>
    </row>
    <row r="21" spans="1:5">
      <c r="A21" s="4547">
        <v>4</v>
      </c>
      <c r="B21" s="4548" t="str">
        <f t="shared" si="0"/>
        <v>Thu vay từ nguồn Chính phủ vay về cho vay lại</v>
      </c>
      <c r="C21" s="4549">
        <f>SUM(D21:E21)</f>
        <v>0</v>
      </c>
      <c r="D21" s="4549">
        <f>'[2]PL1-Thu6T'!L61</f>
        <v>0</v>
      </c>
      <c r="E21" s="4550">
        <f>'[2]Phụ lục số 1'!S60</f>
        <v>0</v>
      </c>
    </row>
    <row r="22" spans="1:5">
      <c r="A22" s="586" t="s">
        <v>37</v>
      </c>
      <c r="B22" s="4544" t="s">
        <v>2853</v>
      </c>
      <c r="C22" s="4545">
        <f>SUM(C23,C45)</f>
        <v>22649905.151680958</v>
      </c>
      <c r="D22" s="4545">
        <f t="shared" ref="D22:E22" si="1">SUM(D23,D45)</f>
        <v>13508410.348000001</v>
      </c>
      <c r="E22" s="4546">
        <f t="shared" si="1"/>
        <v>9141494.8036809564</v>
      </c>
    </row>
    <row r="23" spans="1:5" s="2576" customFormat="1">
      <c r="A23" s="586" t="s">
        <v>3</v>
      </c>
      <c r="B23" s="4544" t="s">
        <v>2854</v>
      </c>
      <c r="C23" s="4545">
        <f>SUM(C24,C31,C32,C33,C34,C35,C36,C37,C38,C42,C43)</f>
        <v>11490161.878484938</v>
      </c>
      <c r="D23" s="4545">
        <f>SUM(D24,D31,D32,D33,D34,D35,D36,D37,D38,D42,D43)</f>
        <v>6855262.6740000006</v>
      </c>
      <c r="E23" s="4546">
        <f t="shared" ref="E23" si="2">SUM(E24,E31,E32,E33,E34,E35,E36,E37,E38,E42,E43)</f>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71">
        <f>'[2]PL2-Chi6T'!J11</f>
        <v>571500</v>
      </c>
    </row>
    <row r="27" spans="1:5" s="2576" customFormat="1">
      <c r="A27" s="2822" t="s">
        <v>147</v>
      </c>
      <c r="B27" s="704" t="str">
        <f>'[2]PL2-Chi6T'!B12</f>
        <v>Chi đầu tư từ nguồn thu xổ số kiến thiết</v>
      </c>
      <c r="C27" s="723">
        <f>D27+E27</f>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71">
        <f>'[2]PL2-Chi6T'!J14</f>
        <v>0</v>
      </c>
    </row>
    <row r="30" spans="1:5" s="873" customFormat="1">
      <c r="A30" s="2822" t="s">
        <v>148</v>
      </c>
      <c r="B30" s="704"/>
      <c r="C30" s="723">
        <f t="shared" si="4"/>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5">SUM(D32:E32)</f>
        <v>2000</v>
      </c>
      <c r="D32" s="719">
        <f>'[2]PL2-Chi6T'!I29</f>
        <v>2000</v>
      </c>
      <c r="E32" s="4460">
        <f>'[2]PL2-Chi6T'!J29</f>
        <v>0</v>
      </c>
    </row>
    <row r="33" spans="1:5" s="588" customFormat="1" ht="17.399999999999999">
      <c r="A33" s="4555">
        <v>4</v>
      </c>
      <c r="B33" s="701" t="str">
        <f>'[2]PL2-Chi6T'!B30</f>
        <v>Dự phòng ngân sách</v>
      </c>
      <c r="C33" s="719">
        <f t="shared" si="5"/>
        <v>126802</v>
      </c>
      <c r="D33" s="719">
        <f>'[2]PL2-Chi6T'!I30</f>
        <v>39000</v>
      </c>
      <c r="E33" s="4460">
        <f>'[2]PL2-Chi6T'!J30</f>
        <v>87802</v>
      </c>
    </row>
    <row r="34" spans="1:5" s="588" customFormat="1" ht="17.399999999999999">
      <c r="A34" s="4555">
        <v>5</v>
      </c>
      <c r="B34" s="701" t="str">
        <f>'[2]PL2-Chi6T'!B31</f>
        <v>Chi điều chỉnh tiền lương cơ sở</v>
      </c>
      <c r="C34" s="719">
        <f t="shared" si="5"/>
        <v>0</v>
      </c>
      <c r="D34" s="719">
        <f>'[2]PL2-Chi6T'!I31</f>
        <v>0</v>
      </c>
      <c r="E34" s="4460">
        <f>'[2]PL2-Chi6T'!J31</f>
        <v>0</v>
      </c>
    </row>
    <row r="35" spans="1:5" s="588" customFormat="1" ht="17.399999999999999">
      <c r="A35" s="4555">
        <v>6</v>
      </c>
      <c r="B35" s="701" t="str">
        <f>'[2]PL2-Chi6T'!B32</f>
        <v>Chi chuyển nguồn cải cách tiền lương sang kỳ sau thực hiện</v>
      </c>
      <c r="C35" s="719">
        <f t="shared" si="5"/>
        <v>0</v>
      </c>
      <c r="D35" s="719">
        <f>'[2]PL2-Chi6T'!I32</f>
        <v>0</v>
      </c>
      <c r="E35" s="4460">
        <f>'[2]PL2-Chi6T'!J32</f>
        <v>0</v>
      </c>
    </row>
    <row r="36" spans="1:5" s="588" customFormat="1" ht="17.399999999999999">
      <c r="A36" s="4555">
        <v>7</v>
      </c>
      <c r="B36" s="701" t="str">
        <f>'[2]PL2-Chi6T'!B33</f>
        <v>Chi từ nguồn dự kiến tăng thu (sau khi dành CCTL theo quy định)</v>
      </c>
      <c r="C36" s="719">
        <f t="shared" si="5"/>
        <v>0</v>
      </c>
      <c r="D36" s="719">
        <f>'[2]PL2-Chi6T'!I33</f>
        <v>0</v>
      </c>
      <c r="E36" s="4460">
        <f>'[2]PL2-Chi6T'!J33</f>
        <v>0</v>
      </c>
    </row>
    <row r="37" spans="1:5" s="588" customFormat="1" ht="17.399999999999999">
      <c r="A37" s="4555">
        <v>8</v>
      </c>
      <c r="B37" s="701" t="str">
        <f>'[2]PL2-Chi6T'!B34</f>
        <v>Chi trả lãi tiền vay</v>
      </c>
      <c r="C37" s="719">
        <f t="shared" si="5"/>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SUM(D39:D41)</f>
        <v>994488</v>
      </c>
      <c r="E38" s="4460">
        <f t="shared" ref="E38" si="6">SUM(E39:E41)</f>
        <v>0</v>
      </c>
    </row>
    <row r="39" spans="1:5" s="873" customFormat="1">
      <c r="A39" s="4552" t="s">
        <v>99</v>
      </c>
      <c r="B39" s="4551" t="str">
        <f>'[2]PL2-Chi6T'!B36</f>
        <v>Chi thực hiện mục tiêu, nhiệm vụ quan trọng (vốn đầu tư phát triển)</v>
      </c>
      <c r="C39" s="724">
        <f>SUM(D39:E39)</f>
        <v>907245.5</v>
      </c>
      <c r="D39" s="724">
        <f>'[2]PL2-Chi6T'!I36</f>
        <v>907245.5</v>
      </c>
      <c r="E39" s="4553">
        <f>'[2]PL2-Chi6T'!J36</f>
        <v>0</v>
      </c>
    </row>
    <row r="40" spans="1:5" s="873" customFormat="1">
      <c r="A40" s="4552" t="s">
        <v>101</v>
      </c>
      <c r="B40" s="4551" t="str">
        <f>'[2]PL2-Chi6T'!B37</f>
        <v>Chi thực hiện mục tiêu, nhiệm vụ quan trọng (kinh phí sự nghiệp)</v>
      </c>
      <c r="C40" s="724">
        <f t="shared" ref="C40:C41" si="7">SUM(D40:E40)</f>
        <v>87242.5</v>
      </c>
      <c r="D40" s="724">
        <f>'[2]PL2-Chi6T'!I37</f>
        <v>87242.5</v>
      </c>
      <c r="E40" s="4553">
        <f>'[2]PL2-Chi6T'!J37</f>
        <v>0</v>
      </c>
    </row>
    <row r="41" spans="1:5" s="873" customFormat="1">
      <c r="A41" s="4552" t="s">
        <v>147</v>
      </c>
      <c r="B41" s="4551" t="str">
        <f>'[2]PL2-Chi6T'!B38</f>
        <v>Chi bổ sung có mục tiêu nhiệm vụ quan trọng khác (nếu có)</v>
      </c>
      <c r="C41" s="724">
        <f t="shared" si="7"/>
        <v>0</v>
      </c>
      <c r="D41" s="724">
        <f>'[2]PL2-Chi6T'!I38</f>
        <v>0</v>
      </c>
      <c r="E41" s="4553">
        <f>'[2]PL2-Chi6T'!J38</f>
        <v>0</v>
      </c>
    </row>
    <row r="42" spans="1:5" s="588" customFormat="1" ht="17.399999999999999">
      <c r="A42" s="4555">
        <v>10</v>
      </c>
      <c r="B42" s="701" t="str">
        <f>'[2]PL2-Chi6T'!B39</f>
        <v>Chi đầu tư từ nguồn vốn Chính phủ vay về cho vay lại</v>
      </c>
      <c r="C42" s="719">
        <f>SUM(D42:E42)</f>
        <v>0</v>
      </c>
      <c r="D42" s="719">
        <f>'[2]PL2-Chi6T'!I39</f>
        <v>0</v>
      </c>
      <c r="E42" s="4460">
        <f>'[2]PL2-Chi6T'!J39</f>
        <v>0</v>
      </c>
    </row>
    <row r="43" spans="1:5" s="386" customFormat="1" ht="17.399999999999999">
      <c r="A43" s="4555">
        <v>11</v>
      </c>
      <c r="B43" s="4556" t="s">
        <v>2855</v>
      </c>
      <c r="C43" s="719">
        <f>SUM(D43:E43)</f>
        <v>2541661.6740000001</v>
      </c>
      <c r="D43" s="719">
        <f>E11</f>
        <v>2541661.6740000001</v>
      </c>
      <c r="E43" s="4460">
        <v>0</v>
      </c>
    </row>
    <row r="44" spans="1:5">
      <c r="A44" s="586"/>
      <c r="B44" s="587" t="s">
        <v>2856</v>
      </c>
      <c r="C44" s="4545">
        <f>D44+E44</f>
        <v>815460.69551506266</v>
      </c>
      <c r="D44" s="4545">
        <f>D6-D23</f>
        <v>735668.22599999979</v>
      </c>
      <c r="E44" s="4546">
        <f>E6-E23</f>
        <v>79792.469515062869</v>
      </c>
    </row>
    <row r="45" spans="1:5">
      <c r="A45" s="586" t="s">
        <v>33</v>
      </c>
      <c r="B45" s="4544" t="s">
        <v>2857</v>
      </c>
      <c r="C45" s="4545">
        <f>SUM(C46,C53,C54,C55,C56,C57,C58,C59,C60,C64,C65)</f>
        <v>11159743.273196019</v>
      </c>
      <c r="D45" s="4545">
        <f t="shared" ref="D45:E45" si="8">SUM(D46,D53,D54,D55,D56,D57,D58,D59,D60,D64,D65)</f>
        <v>6653147.6740000006</v>
      </c>
      <c r="E45" s="4546">
        <f t="shared" si="8"/>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9">A25</f>
        <v>a</v>
      </c>
      <c r="B47" s="704" t="str">
        <f>B25</f>
        <v>Chi đầu tư xây dựng cơ bản</v>
      </c>
      <c r="C47" s="723">
        <f>SUM(D47:E47)</f>
        <v>571593.20448493806</v>
      </c>
      <c r="D47" s="723">
        <f>'[2]PL2-Chi6T'!N10</f>
        <v>281093</v>
      </c>
      <c r="E47" s="4471">
        <f>'[2]PL2-Chi6T'!O10</f>
        <v>290500.20448493806</v>
      </c>
    </row>
    <row r="48" spans="1:5">
      <c r="A48" s="4547" t="str">
        <f t="shared" si="9"/>
        <v>b</v>
      </c>
      <c r="B48" s="704" t="str">
        <f t="shared" si="9"/>
        <v>Chi đầu tư từ nguồn thu tiền sử dụng đất</v>
      </c>
      <c r="C48" s="723">
        <f t="shared" ref="C48:C51" si="10">SUM(D48:E48)</f>
        <v>591289</v>
      </c>
      <c r="D48" s="723">
        <f>'[2]PL2-Chi6T'!N11</f>
        <v>89000</v>
      </c>
      <c r="E48" s="4471">
        <f>'[2]PL2-Chi6T'!O11</f>
        <v>502289</v>
      </c>
    </row>
    <row r="49" spans="1:5">
      <c r="A49" s="4547" t="str">
        <f t="shared" si="9"/>
        <v>c</v>
      </c>
      <c r="B49" s="704" t="str">
        <f t="shared" si="9"/>
        <v>Chi đầu tư từ nguồn thu xổ số kiến thiết</v>
      </c>
      <c r="C49" s="723">
        <f t="shared" si="10"/>
        <v>1099485</v>
      </c>
      <c r="D49" s="723">
        <f>'[2]PL2-Chi6T'!N12</f>
        <v>1099485</v>
      </c>
      <c r="E49" s="4471">
        <f>'[2]PL2-Chi6T'!O12</f>
        <v>0</v>
      </c>
    </row>
    <row r="50" spans="1:5">
      <c r="A50" s="4547" t="str">
        <f t="shared" si="9"/>
        <v>d</v>
      </c>
      <c r="B50" s="704" t="str">
        <f t="shared" si="9"/>
        <v>Chi đầu tư từ nguồn thu thoái vốn doanh nghiệp nhà nước địa phương quản lý;…</v>
      </c>
      <c r="C50" s="723">
        <f t="shared" si="10"/>
        <v>0</v>
      </c>
      <c r="D50" s="723">
        <f>'[2]PL2-Chi6T'!N13</f>
        <v>0</v>
      </c>
      <c r="E50" s="4471">
        <f>'[2]PL2-Chi6T'!O13</f>
        <v>0</v>
      </c>
    </row>
    <row r="51" spans="1:5">
      <c r="A51" s="4547" t="str">
        <f t="shared" si="9"/>
        <v>e</v>
      </c>
      <c r="B51" s="704" t="str">
        <f t="shared" si="9"/>
        <v>Chi đầu tư phát triển khác (Ủy thác qua NH Chính sách chi nhánh tỉnh Đồng Tháp)</v>
      </c>
      <c r="C51" s="723">
        <f t="shared" si="10"/>
        <v>0</v>
      </c>
      <c r="D51" s="723">
        <f>'[2]PL2-Chi6T'!N14</f>
        <v>0</v>
      </c>
      <c r="E51" s="4471">
        <f>'[2]PL2-Chi6T'!O14</f>
        <v>0</v>
      </c>
    </row>
    <row r="52" spans="1:5">
      <c r="A52" s="4547" t="str">
        <f t="shared" si="9"/>
        <v>d</v>
      </c>
      <c r="B52" s="704"/>
      <c r="C52" s="723">
        <f t="shared" ref="C52" si="11">D52+E52</f>
        <v>0</v>
      </c>
      <c r="D52" s="723">
        <f>'[2]Phụ lục số 2'!N13</f>
        <v>0</v>
      </c>
      <c r="E52" s="4471"/>
    </row>
    <row r="53" spans="1:5" s="386" customFormat="1" ht="17.399999999999999">
      <c r="A53" s="4555">
        <f t="shared" si="9"/>
        <v>2</v>
      </c>
      <c r="B53" s="4556" t="str">
        <f>B31</f>
        <v>Chi thường xuyên</v>
      </c>
      <c r="C53" s="719">
        <f t="shared" ref="C53:C59" si="12">SUM(D53:E53)</f>
        <v>5361226.3947110809</v>
      </c>
      <c r="D53" s="719">
        <f>'[2]PL2-Chi6T'!N15</f>
        <v>1647420</v>
      </c>
      <c r="E53" s="4460">
        <f>'[2]PL2-Chi6T'!O15</f>
        <v>3713806.3947110809</v>
      </c>
    </row>
    <row r="54" spans="1:5" s="386" customFormat="1" ht="17.399999999999999">
      <c r="A54" s="4555">
        <f t="shared" si="9"/>
        <v>3</v>
      </c>
      <c r="B54" s="4556" t="str">
        <f t="shared" si="9"/>
        <v xml:space="preserve">Chi bổ sung quỹ dự trữ tài chính </v>
      </c>
      <c r="C54" s="719">
        <f t="shared" si="12"/>
        <v>0</v>
      </c>
      <c r="D54" s="719">
        <f>'[2]PL2-Chi6T'!N29</f>
        <v>0</v>
      </c>
      <c r="E54" s="4460">
        <f>'[2]PL2-Chi6T'!O29</f>
        <v>0</v>
      </c>
    </row>
    <row r="55" spans="1:5" s="386" customFormat="1">
      <c r="A55" s="4555">
        <f t="shared" si="9"/>
        <v>4</v>
      </c>
      <c r="B55" s="4556" t="str">
        <f t="shared" si="9"/>
        <v>Dự phòng ngân sách</v>
      </c>
      <c r="C55" s="719">
        <f t="shared" si="12"/>
        <v>0</v>
      </c>
      <c r="D55" s="4558">
        <f>'[2]PL2-Chi6T'!N30</f>
        <v>0</v>
      </c>
      <c r="E55" s="4559"/>
    </row>
    <row r="56" spans="1:5" s="386" customFormat="1">
      <c r="A56" s="4555">
        <f t="shared" si="9"/>
        <v>5</v>
      </c>
      <c r="B56" s="4556" t="str">
        <f t="shared" si="9"/>
        <v>Chi điều chỉnh tiền lương cơ sở</v>
      </c>
      <c r="C56" s="719">
        <f t="shared" si="12"/>
        <v>0</v>
      </c>
      <c r="D56" s="4558">
        <f>'[2]PL2-Chi6T'!N31</f>
        <v>0</v>
      </c>
      <c r="E56" s="4559">
        <f>'[2]PL2-Chi6T'!O31</f>
        <v>0</v>
      </c>
    </row>
    <row r="57" spans="1:5" s="386" customFormat="1">
      <c r="A57" s="4555">
        <f t="shared" si="9"/>
        <v>6</v>
      </c>
      <c r="B57" s="4556" t="str">
        <f t="shared" si="9"/>
        <v>Chi chuyển nguồn cải cách tiền lương sang kỳ sau thực hiện</v>
      </c>
      <c r="C57" s="719">
        <f t="shared" si="12"/>
        <v>0</v>
      </c>
      <c r="D57" s="4558">
        <f>'[2]PL2-Chi6T'!N32</f>
        <v>0</v>
      </c>
      <c r="E57" s="4469">
        <f>'[2]PL2-Chi6T'!O32</f>
        <v>0</v>
      </c>
    </row>
    <row r="58" spans="1:5" s="386" customFormat="1" ht="17.399999999999999">
      <c r="A58" s="4555">
        <f t="shared" si="9"/>
        <v>7</v>
      </c>
      <c r="B58" s="4556" t="str">
        <f t="shared" si="9"/>
        <v>Chi từ nguồn dự kiến tăng thu (sau khi dành CCTL theo quy định)</v>
      </c>
      <c r="C58" s="719">
        <f t="shared" si="12"/>
        <v>0</v>
      </c>
      <c r="D58" s="4468">
        <f>'[2]PL2-Chi6T'!N33</f>
        <v>0</v>
      </c>
      <c r="E58" s="4469">
        <f>'[2]PL2-Chi6T'!O33</f>
        <v>0</v>
      </c>
    </row>
    <row r="59" spans="1:5" s="386" customFormat="1" ht="17.399999999999999">
      <c r="A59" s="4555">
        <f t="shared" si="9"/>
        <v>8</v>
      </c>
      <c r="B59" s="4556" t="str">
        <f t="shared" si="9"/>
        <v>Chi trả lãi tiền vay</v>
      </c>
      <c r="C59" s="719">
        <f t="shared" si="12"/>
        <v>0</v>
      </c>
      <c r="D59" s="4468"/>
      <c r="E59" s="4469">
        <f>'[2]PL2-Chi6T'!O34</f>
        <v>0</v>
      </c>
    </row>
    <row r="60" spans="1:5" s="386" customFormat="1" ht="17.399999999999999">
      <c r="A60" s="4555">
        <f t="shared" si="9"/>
        <v>9</v>
      </c>
      <c r="B60" s="4556" t="str">
        <f t="shared" si="9"/>
        <v>Chi từ nguồn ngân sách trung ương bổ sung có mục tiêu</v>
      </c>
      <c r="C60" s="719">
        <f>SUM(C61:C63)</f>
        <v>994488</v>
      </c>
      <c r="D60" s="719">
        <f>SUM(D61:D63)</f>
        <v>994488</v>
      </c>
      <c r="E60" s="4460">
        <f t="shared" ref="E60" si="13">SUM(E61:E63)</f>
        <v>0</v>
      </c>
    </row>
    <row r="61" spans="1:5" s="873" customFormat="1">
      <c r="A61" s="4552" t="str">
        <f t="shared" si="9"/>
        <v>a</v>
      </c>
      <c r="B61" s="4551" t="str">
        <f t="shared" si="9"/>
        <v>Chi thực hiện mục tiêu, nhiệm vụ quan trọng (vốn đầu tư phát triển)</v>
      </c>
      <c r="C61" s="724">
        <f>SUM(D61:E61)</f>
        <v>907245.5</v>
      </c>
      <c r="D61" s="724">
        <f>'[2]PL2-Chi6T'!N36</f>
        <v>907245.5</v>
      </c>
      <c r="E61" s="4553">
        <f>'[2]PL2-Chi6T'!O36</f>
        <v>0</v>
      </c>
    </row>
    <row r="62" spans="1:5" s="873" customFormat="1">
      <c r="A62" s="4552" t="str">
        <f t="shared" si="9"/>
        <v>b</v>
      </c>
      <c r="B62" s="4551" t="str">
        <f t="shared" si="9"/>
        <v>Chi thực hiện mục tiêu, nhiệm vụ quan trọng (kinh phí sự nghiệp)</v>
      </c>
      <c r="C62" s="724">
        <f t="shared" ref="C62:C64" si="14">SUM(D62:E62)</f>
        <v>87242.5</v>
      </c>
      <c r="D62" s="724">
        <f>'[2]PL2-Chi6T'!N37</f>
        <v>87242.5</v>
      </c>
      <c r="E62" s="4553">
        <f>'[2]PL2-Chi6T'!O37</f>
        <v>0</v>
      </c>
    </row>
    <row r="63" spans="1:5" s="873" customFormat="1">
      <c r="A63" s="4552" t="str">
        <f t="shared" ref="A63:B65" si="15">A41</f>
        <v>c</v>
      </c>
      <c r="B63" s="4551" t="str">
        <f t="shared" si="15"/>
        <v>Chi bổ sung có mục tiêu nhiệm vụ quan trọng khác (nếu có)</v>
      </c>
      <c r="C63" s="724">
        <f t="shared" si="14"/>
        <v>0</v>
      </c>
      <c r="D63" s="724">
        <f>'[2]PL2-Chi6T'!N38</f>
        <v>0</v>
      </c>
      <c r="E63" s="4553">
        <f>'[2]PL2-Chi6T'!O38</f>
        <v>0</v>
      </c>
    </row>
    <row r="64" spans="1:5" s="386" customFormat="1">
      <c r="A64" s="4555">
        <f t="shared" si="15"/>
        <v>10</v>
      </c>
      <c r="B64" s="4556" t="str">
        <f t="shared" si="15"/>
        <v>Chi đầu tư từ nguồn vốn Chính phủ vay về cho vay lại</v>
      </c>
      <c r="C64" s="724">
        <f t="shared" si="14"/>
        <v>0</v>
      </c>
      <c r="D64" s="719">
        <v>0</v>
      </c>
      <c r="E64" s="4460">
        <v>0</v>
      </c>
    </row>
    <row r="65" spans="1:5" s="386" customFormat="1" ht="17.399999999999999">
      <c r="A65" s="4555">
        <f t="shared" si="15"/>
        <v>11</v>
      </c>
      <c r="B65" s="4556" t="str">
        <f t="shared" si="15"/>
        <v>Chi bổ sung cho ngân sách huyện, thành phố</v>
      </c>
      <c r="C65" s="4560">
        <f>SUM(D65:E65)</f>
        <v>2541661.6740000001</v>
      </c>
      <c r="D65" s="4560">
        <f>E19</f>
        <v>2541661.6740000001</v>
      </c>
      <c r="E65" s="4561"/>
    </row>
    <row r="66" spans="1:5" s="588" customFormat="1" thickBot="1">
      <c r="A66" s="4562"/>
      <c r="B66" s="4563" t="s">
        <v>2858</v>
      </c>
      <c r="C66" s="4564">
        <f>D66+E66</f>
        <v>1609423.3363190442</v>
      </c>
      <c r="D66" s="4564">
        <f>D5-D22</f>
        <v>1544058.8719999995</v>
      </c>
      <c r="E66" s="4565">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130</vt:i4>
      </vt:variant>
      <vt:variant>
        <vt:lpstr>Named Ranges</vt:lpstr>
      </vt:variant>
      <vt:variant>
        <vt:i4>106</vt:i4>
      </vt:variant>
    </vt:vector>
  </HeadingPairs>
  <TitlesOfParts>
    <vt:vector size="236"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39-CK-NSNN</vt:lpstr>
      <vt:lpstr>Phụ lục thu 3 nam</vt:lpstr>
      <vt:lpstr>Phụ lục chi 3 nam</vt:lpstr>
      <vt:lpstr>Phụ lục CĐ 3 nam</vt:lpstr>
      <vt:lpstr>Phụ lục-CĐC-3 nam</vt:lpstr>
      <vt:lpstr>Phụ lục -CĐC(-BS)-3 nam</vt:lpstr>
      <vt:lpstr>Biểu 45-CK-NSNN</vt:lpstr>
      <vt:lpstr>Biểu 52-CK-NSNN</vt:lpstr>
      <vt:lpstr>Biểu 56-CK-NSNN</vt:lpstr>
      <vt:lpstr>Biểu 57-CK-NSNN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56-CK-NSNN'!Print_Area</vt:lpstr>
      <vt:lpstr>'Biểu 57-CK-NSNN'!Print_Area</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2025-01-16T09:09:40Z</dcterms:modified>
</cp:coreProperties>
</file>